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R:\CEO\_Cierres Mes &amp; Strategy\2018\0.Closing 1S 2018 (MaB)\"/>
    </mc:Choice>
  </mc:AlternateContent>
  <xr:revisionPtr revIDLastSave="0" documentId="13_ncr:1_{5441A41B-F174-4795-ABEF-AEE9E482BA05}" xr6:coauthVersionLast="38" xr6:coauthVersionMax="38" xr10:uidLastSave="{00000000-0000-0000-0000-000000000000}"/>
  <bookViews>
    <workbookView xWindow="0" yWindow="0" windowWidth="21570" windowHeight="6720" activeTab="2" xr2:uid="{00000000-000D-0000-FFFF-FFFF00000000}"/>
  </bookViews>
  <sheets>
    <sheet name="Balance Consolidado" sheetId="8" r:id="rId1"/>
    <sheet name="PyG Consolidado" sheetId="6" r:id="rId2"/>
    <sheet name="PyG Comparado" sheetId="7" r:id="rId3"/>
    <sheet name="2015-2018" sheetId="9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9" l="1"/>
  <c r="C27" i="9"/>
  <c r="E26" i="9"/>
  <c r="E28" i="9" s="1"/>
  <c r="F24" i="9"/>
  <c r="G20" i="9"/>
  <c r="G18" i="9"/>
  <c r="C16" i="9"/>
  <c r="F15" i="9"/>
  <c r="F26" i="9" s="1"/>
  <c r="E15" i="9"/>
  <c r="E16" i="9" s="1"/>
  <c r="D15" i="9"/>
  <c r="G4" i="9"/>
  <c r="F28" i="9" l="1"/>
  <c r="G28" i="9" s="1"/>
  <c r="G26" i="9"/>
  <c r="F16" i="9"/>
  <c r="G15" i="9"/>
  <c r="D108" i="8" l="1"/>
  <c r="B108" i="8"/>
  <c r="C3" i="7" l="1"/>
  <c r="B3" i="7"/>
  <c r="D52" i="8"/>
  <c r="B52" i="8"/>
  <c r="B67" i="8" l="1"/>
  <c r="B66" i="8" s="1"/>
  <c r="D98" i="8"/>
  <c r="B98" i="8"/>
  <c r="D93" i="8"/>
  <c r="B93" i="8"/>
  <c r="B91" i="8" s="1"/>
  <c r="D83" i="8"/>
  <c r="B83" i="8"/>
  <c r="D74" i="8"/>
  <c r="B74" i="8"/>
  <c r="D72" i="8"/>
  <c r="D69" i="8"/>
  <c r="B69" i="8"/>
  <c r="D67" i="8"/>
  <c r="D66" i="8" s="1"/>
  <c r="D46" i="8"/>
  <c r="B46" i="8"/>
  <c r="D39" i="8"/>
  <c r="B39" i="8"/>
  <c r="D35" i="8"/>
  <c r="D32" i="8" s="1"/>
  <c r="B32" i="8"/>
  <c r="D29" i="8"/>
  <c r="B29" i="8"/>
  <c r="D21" i="8"/>
  <c r="B21" i="8"/>
  <c r="D15" i="8"/>
  <c r="D14" i="8" s="1"/>
  <c r="B14" i="8"/>
  <c r="D11" i="8"/>
  <c r="D10" i="8"/>
  <c r="B7" i="8"/>
  <c r="D91" i="8" l="1"/>
  <c r="D57" i="8"/>
  <c r="D55" i="8" s="1"/>
  <c r="D109" i="8" s="1"/>
  <c r="D7" i="8"/>
  <c r="B57" i="8"/>
  <c r="B27" i="8"/>
  <c r="B55" i="8"/>
  <c r="D5" i="8"/>
  <c r="B5" i="8"/>
  <c r="D27" i="8"/>
  <c r="B109" i="8"/>
  <c r="B110" i="8"/>
  <c r="B81" i="8"/>
  <c r="D110" i="8"/>
  <c r="D81" i="8"/>
  <c r="D106" i="8" l="1"/>
  <c r="D50" i="8"/>
  <c r="B50" i="8"/>
  <c r="B6" i="8" s="1"/>
  <c r="D28" i="8"/>
  <c r="B28" i="8"/>
  <c r="D6" i="8"/>
  <c r="B106" i="8"/>
  <c r="B82" i="8" s="1"/>
  <c r="D92" i="8" l="1"/>
  <c r="D56" i="8"/>
  <c r="B56" i="8"/>
  <c r="B92" i="8"/>
  <c r="D82" i="8"/>
  <c r="B36" i="6" l="1"/>
  <c r="B26" i="6"/>
  <c r="B38" i="6" l="1"/>
  <c r="B43" i="6" s="1"/>
  <c r="C9" i="7"/>
  <c r="C11" i="7"/>
  <c r="C13" i="7"/>
  <c r="C14" i="7"/>
  <c r="C15" i="7" s="1"/>
  <c r="C17" i="7"/>
  <c r="C19" i="7"/>
  <c r="C20" i="7" l="1"/>
  <c r="C21" i="7" l="1"/>
  <c r="C24" i="7"/>
  <c r="C25" i="7" l="1"/>
  <c r="C28" i="7"/>
  <c r="C30" i="7" s="1"/>
  <c r="C31" i="7" s="1"/>
  <c r="B30" i="7" l="1"/>
  <c r="B39" i="7" s="1"/>
  <c r="B27" i="7"/>
  <c r="D26" i="7"/>
  <c r="B23" i="7"/>
  <c r="B22" i="7"/>
  <c r="D22" i="7" s="1"/>
  <c r="D18" i="7"/>
  <c r="D16" i="7"/>
  <c r="B12" i="7"/>
  <c r="D12" i="7" s="1"/>
  <c r="B10" i="7"/>
  <c r="D10" i="7" s="1"/>
  <c r="B8" i="7"/>
  <c r="B6" i="7"/>
  <c r="B7" i="7" l="1"/>
  <c r="D6" i="7"/>
  <c r="D8" i="7"/>
  <c r="B9" i="7"/>
  <c r="B11" i="7"/>
  <c r="B17" i="7"/>
  <c r="B19" i="7"/>
  <c r="B13" i="7"/>
  <c r="B14" i="7"/>
  <c r="B20" i="7" s="1"/>
  <c r="B111" i="8" l="1"/>
  <c r="B38" i="7"/>
  <c r="D14" i="7"/>
  <c r="B15" i="7"/>
  <c r="B21" i="7" l="1"/>
  <c r="B24" i="7"/>
  <c r="D24" i="7" s="1"/>
  <c r="D20" i="7"/>
  <c r="D30" i="7" l="1"/>
  <c r="B28" i="7"/>
  <c r="D28" i="7" s="1"/>
  <c r="B25" i="7"/>
  <c r="B31" i="7" l="1"/>
</calcChain>
</file>

<file path=xl/sharedStrings.xml><?xml version="1.0" encoding="utf-8"?>
<sst xmlns="http://schemas.openxmlformats.org/spreadsheetml/2006/main" count="165" uniqueCount="135">
  <si>
    <t>ACTIVO</t>
  </si>
  <si>
    <t>ACTIVO NO CORRIENTE</t>
  </si>
  <si>
    <t>Desarrollo</t>
  </si>
  <si>
    <t>Aplicaciones informáticas</t>
  </si>
  <si>
    <t>Otro inmovilizado intangible</t>
  </si>
  <si>
    <t xml:space="preserve">Inmovilizado material </t>
  </si>
  <si>
    <t>Instalaciones técnicas y otro inmovilizado material</t>
  </si>
  <si>
    <t xml:space="preserve">Inversiones en empresas del grupo y asociadas a largo plazo </t>
  </si>
  <si>
    <t>Derivados</t>
  </si>
  <si>
    <t>Otros activos financieros</t>
  </si>
  <si>
    <t>Instrumentos de patrimonio</t>
  </si>
  <si>
    <t xml:space="preserve">ACTIVO CORRIENTE </t>
  </si>
  <si>
    <t xml:space="preserve">Existencias </t>
  </si>
  <si>
    <t>Comerciales</t>
  </si>
  <si>
    <t>Clientes empresas del grupo y asociadas</t>
  </si>
  <si>
    <t>Personal</t>
  </si>
  <si>
    <t>Activos por impuesto corriente</t>
  </si>
  <si>
    <t xml:space="preserve">Inversiones financieras a corto plazo </t>
  </si>
  <si>
    <t xml:space="preserve">TOTAL ACTIVO </t>
  </si>
  <si>
    <t>PATRIMONIO NETO Y PASIVO</t>
  </si>
  <si>
    <t xml:space="preserve">PATRIMONIO NETO </t>
  </si>
  <si>
    <t xml:space="preserve">Fondos propios </t>
  </si>
  <si>
    <t>Capital</t>
  </si>
  <si>
    <t>Capital escriturado</t>
  </si>
  <si>
    <t>Prima de emisión</t>
  </si>
  <si>
    <t>Reservas</t>
  </si>
  <si>
    <t>Otras Reservas</t>
  </si>
  <si>
    <t>Resultados de ejercicios anteriores</t>
  </si>
  <si>
    <t>Resultado del ejercicio</t>
  </si>
  <si>
    <t>Otros instrumentos de patrimonio</t>
  </si>
  <si>
    <t xml:space="preserve">Ajustes por cambios de valor </t>
  </si>
  <si>
    <t>Operaciones de cobertura</t>
  </si>
  <si>
    <t>Subvenciones, donaciones y legados recibidos</t>
  </si>
  <si>
    <t xml:space="preserve">PASIVO NO CORRIENTE </t>
  </si>
  <si>
    <t xml:space="preserve">Deudas con entidades de crédito </t>
  </si>
  <si>
    <t xml:space="preserve">Otros pasivos financieros </t>
  </si>
  <si>
    <t xml:space="preserve">Pasivos por impuesto diferido </t>
  </si>
  <si>
    <t>Periodificaciones a largo plazo</t>
  </si>
  <si>
    <t>PASIVO CORRIENTE</t>
  </si>
  <si>
    <t xml:space="preserve">Deudas a corto plazo </t>
  </si>
  <si>
    <t>Deudas con entidades de crédito</t>
  </si>
  <si>
    <t>Otros pasivos financieros</t>
  </si>
  <si>
    <t xml:space="preserve">Acreedores comerciales y otras cuentas a pagar </t>
  </si>
  <si>
    <t>Proveedores</t>
  </si>
  <si>
    <t>Proveedores, empresas del grupo y asociadas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</si>
  <si>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</si>
  <si>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</si>
  <si>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</si>
  <si>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</si>
  <si>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</si>
  <si>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 xml:space="preserve">Importe neto de la cifra de negocio </t>
  </si>
  <si>
    <t>Var. de existencias de prod. terminados y en curso de fabricación</t>
  </si>
  <si>
    <t>Trabajos realizados por la empresa para su activo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</si>
  <si>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</si>
  <si>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</si>
  <si>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</si>
  <si>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</si>
  <si>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</si>
  <si>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Deterioro y resultado por enajenaciones del inmovilizado</t>
  </si>
  <si>
    <t>RESULTADO DE EXPLOTACIÓN</t>
  </si>
  <si>
    <t>Ingresos financieros</t>
  </si>
  <si>
    <t>Gastos financieros</t>
  </si>
  <si>
    <t>Diferencias de cambio</t>
  </si>
  <si>
    <t>Deterioro y result. por enajenaciones de instrumentos financieros</t>
  </si>
  <si>
    <t>RESULTADO FINANCIERO</t>
  </si>
  <si>
    <t>RESULTADO ANTES DE IMPUESTOS</t>
  </si>
  <si>
    <t>RESULTADO DEL EJERCICIO</t>
  </si>
  <si>
    <t xml:space="preserve">Periodificaciones a corto plazo </t>
  </si>
  <si>
    <t>Tesorería</t>
  </si>
  <si>
    <t>(Resultados negativos de ejercicios anteriores)</t>
  </si>
  <si>
    <t>Impuesto sobre beneficios</t>
  </si>
  <si>
    <t>Patentes, licencias, marcas y similares</t>
  </si>
  <si>
    <t>Inversiones financieras a largo plazo</t>
  </si>
  <si>
    <t xml:space="preserve">Activos por impuesto diferido </t>
  </si>
  <si>
    <t>Clientes por ventas y prestaciones de servicios</t>
  </si>
  <si>
    <t>Deudas a largo plazo</t>
  </si>
  <si>
    <t xml:space="preserve">Otros resultados </t>
  </si>
  <si>
    <t>SISTEMAS+C.I.</t>
  </si>
  <si>
    <r>
      <t>Inmovilizado intangible</t>
    </r>
    <r>
      <rPr>
        <sz val="9"/>
        <color indexed="8"/>
        <rFont val="Times New Roman"/>
        <family val="1"/>
      </rPr>
      <t xml:space="preserve"> </t>
    </r>
  </si>
  <si>
    <t>Fondo Comercio consolidación</t>
  </si>
  <si>
    <t>Participaciones puestas en equivalencia</t>
  </si>
  <si>
    <t>Otras inversiones</t>
  </si>
  <si>
    <r>
      <t>Deudores comerciales y otras cuentas a cobrar</t>
    </r>
    <r>
      <rPr>
        <sz val="9"/>
        <color indexed="8"/>
        <rFont val="Times New Roman"/>
        <family val="1"/>
      </rPr>
      <t xml:space="preserve"> </t>
    </r>
  </si>
  <si>
    <r>
      <t>Efectivo y otros activos líquidos equivalentes</t>
    </r>
    <r>
      <rPr>
        <sz val="9"/>
        <color indexed="8"/>
        <rFont val="Times New Roman"/>
        <family val="1"/>
      </rPr>
      <t xml:space="preserve"> </t>
    </r>
  </si>
  <si>
    <t>Acciones Propias</t>
  </si>
  <si>
    <t>Participaciones en beneficios (pérdidas) de sociedades puestas en equivalencia</t>
  </si>
  <si>
    <t>% s/Ventas</t>
  </si>
  <si>
    <t>BENEFICIO NETO</t>
  </si>
  <si>
    <t>EBT</t>
  </si>
  <si>
    <t>Participaciones de sdes. Puestas en equivalencia</t>
  </si>
  <si>
    <t>Resultado financiero</t>
  </si>
  <si>
    <t>EBIT</t>
  </si>
  <si>
    <t>Imputación subvenciones inmovilizado no financiero y otras</t>
  </si>
  <si>
    <t>EBITDA</t>
  </si>
  <si>
    <t>MARGEN BRUTO</t>
  </si>
  <si>
    <t>Var.de existencias de productos terminados y en curso fabricación</t>
  </si>
  <si>
    <t>Var. Facturación</t>
  </si>
  <si>
    <t>Importe neto de la cifra de negocio</t>
  </si>
  <si>
    <t>Variación interanual</t>
  </si>
  <si>
    <t>% Activo</t>
  </si>
  <si>
    <t>% Pasivo</t>
  </si>
  <si>
    <t>Otros deudores</t>
  </si>
  <si>
    <t>Deuda Financiera /PN</t>
  </si>
  <si>
    <t>Deuda Financiera Neta</t>
  </si>
  <si>
    <t>Deuda Financiera Neta/EBITDA</t>
  </si>
  <si>
    <t>Costes indemnizaciones 2018</t>
  </si>
  <si>
    <t>Costes refinanciación 2018</t>
  </si>
  <si>
    <t>Estimación Costes salariales  "normalizados" enero-Junio 2018</t>
  </si>
  <si>
    <t>ebitda normalizado a 30/06/2018</t>
  </si>
  <si>
    <t>Costes no-recurrentes 1S 2018</t>
  </si>
  <si>
    <t>Diferencias de conversión</t>
  </si>
  <si>
    <t>30.06.2018</t>
  </si>
  <si>
    <t>31.12.2017</t>
  </si>
  <si>
    <t>30.06.2017</t>
  </si>
  <si>
    <t>CUENTA DE PÉRDIDAS Y GANANCIAS</t>
  </si>
  <si>
    <t>GRUPO VOZTELECOM                         (Cifras en €)</t>
  </si>
  <si>
    <t>GRUPO VOZTELECOM                        (Cifras en €)</t>
  </si>
  <si>
    <t>GRUPO VOZTELECOM                                                                  (Cifras en €)</t>
  </si>
  <si>
    <t>GRUPO VOZTELECOM                                                           (Cifras en €)</t>
  </si>
  <si>
    <t>total resultado normalizado a 30/06/2018</t>
  </si>
  <si>
    <t>(Cifras en €)</t>
  </si>
  <si>
    <t>2018e</t>
  </si>
  <si>
    <t>% Cumpl</t>
  </si>
  <si>
    <t>Variación de existencias de prod.terminados y en curso de fabricación</t>
  </si>
  <si>
    <t>Consumo de mercaderías y otras materias consumibles</t>
  </si>
  <si>
    <t>-3.764.019</t>
  </si>
  <si>
    <t>Consumo de mercaderías material activación nuevos clientes</t>
  </si>
  <si>
    <t>Trabajos realizados por otras empresas</t>
  </si>
  <si>
    <t>Margen Bruto</t>
  </si>
  <si>
    <t>% Margen Bruto / Ventas</t>
  </si>
  <si>
    <t>Gastos de Personal</t>
  </si>
  <si>
    <t>Pérdidas por deterioro y variación de provisiones por operaciones comerciales</t>
  </si>
  <si>
    <t>Otros gastos de gestión corriente</t>
  </si>
  <si>
    <t>Inputación Subvenciones</t>
  </si>
  <si>
    <t>EBITDA s/plan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</si>
</sst>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0;\(#,##0.00\);\-"/>
    <numFmt numFmtId="165" formatCode="_-* #,##0\ _€_-;\-* #,##0\ _€_-;_-* &quot;-&quot;??\ _€_-;_-@_-"/>
    <numFmt numFmtId="166" formatCode="_-* #,##0.0\ _€_-;\-* #,##0.0\ _€_-;_-* &quot;-&quot;??\ _€_-;_-@_-"/>
    <numFmt numFmtId="167" formatCode="#,##0;\(#,##0\)"/>
  </numFmts>
  <fonts count="24" x14ac:knownFonts="1"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9"/>
      <color indexed="8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.5"/>
      <color rgb="FF000000"/>
      <name val="Times New Roman"/>
      <family val="1"/>
    </font>
    <font>
      <b/>
      <sz val="8.5"/>
      <color rgb="FF000000"/>
      <name val="Times New Roman"/>
      <family val="1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43">
    <xf numFmtId="0" fontId="0" fillId="0" borderId="0" xfId="0"/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3" borderId="0" xfId="0" applyFont="1" applyFill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2" fillId="0" borderId="0" xfId="1"/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 wrapText="1"/>
    </xf>
    <xf numFmtId="10" fontId="5" fillId="0" borderId="0" xfId="2" applyNumberFormat="1" applyFont="1" applyAlignment="1">
      <alignment horizontal="right" vertical="center" wrapText="1"/>
    </xf>
    <xf numFmtId="0" fontId="7" fillId="0" borderId="0" xfId="1" applyFont="1"/>
    <xf numFmtId="10" fontId="12" fillId="4" borderId="0" xfId="2" applyNumberFormat="1" applyFont="1" applyFill="1" applyAlignment="1">
      <alignment horizontal="right" vertical="center" wrapText="1"/>
    </xf>
    <xf numFmtId="4" fontId="12" fillId="3" borderId="0" xfId="1" applyNumberFormat="1" applyFont="1" applyFill="1" applyAlignment="1">
      <alignment horizontal="right" vertical="center" wrapText="1"/>
    </xf>
    <xf numFmtId="0" fontId="12" fillId="3" borderId="0" xfId="1" applyFont="1" applyFill="1" applyAlignment="1">
      <alignment vertical="center" wrapText="1"/>
    </xf>
    <xf numFmtId="10" fontId="12" fillId="0" borderId="0" xfId="2" applyNumberFormat="1" applyFont="1" applyAlignment="1">
      <alignment horizontal="right" vertical="center" wrapText="1"/>
    </xf>
    <xf numFmtId="4" fontId="12" fillId="0" borderId="0" xfId="1" applyNumberFormat="1" applyFont="1" applyAlignment="1">
      <alignment horizontal="right" vertical="center" wrapText="1"/>
    </xf>
    <xf numFmtId="0" fontId="12" fillId="0" borderId="0" xfId="1" applyFont="1" applyAlignment="1">
      <alignment vertical="center" wrapText="1"/>
    </xf>
    <xf numFmtId="4" fontId="2" fillId="0" borderId="0" xfId="1" applyNumberFormat="1"/>
    <xf numFmtId="0" fontId="13" fillId="0" borderId="0" xfId="1" applyFont="1" applyAlignment="1">
      <alignment horizontal="right" vertical="center" wrapText="1"/>
    </xf>
    <xf numFmtId="10" fontId="14" fillId="0" borderId="0" xfId="2" applyNumberFormat="1" applyFont="1" applyAlignment="1">
      <alignment horizontal="right" vertical="center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vertical="top" wrapText="1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top" wrapText="1"/>
    </xf>
    <xf numFmtId="3" fontId="12" fillId="0" borderId="0" xfId="1" applyNumberFormat="1" applyFont="1" applyAlignment="1">
      <alignment horizontal="right" vertical="center" wrapText="1"/>
    </xf>
    <xf numFmtId="9" fontId="9" fillId="0" borderId="0" xfId="3" applyFont="1" applyAlignment="1">
      <alignment wrapText="1"/>
    </xf>
    <xf numFmtId="0" fontId="9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3" fontId="2" fillId="0" borderId="0" xfId="1" applyNumberFormat="1"/>
    <xf numFmtId="0" fontId="1" fillId="0" borderId="0" xfId="1" quotePrefix="1" applyFont="1"/>
    <xf numFmtId="0" fontId="12" fillId="4" borderId="0" xfId="1" applyFont="1" applyFill="1" applyAlignment="1">
      <alignment vertical="center" wrapText="1"/>
    </xf>
    <xf numFmtId="3" fontId="12" fillId="4" borderId="0" xfId="1" applyNumberFormat="1" applyFont="1" applyFill="1" applyAlignment="1">
      <alignment horizontal="right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65" fontId="4" fillId="3" borderId="0" xfId="4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wrapText="1"/>
    </xf>
    <xf numFmtId="3" fontId="4" fillId="3" borderId="0" xfId="0" applyNumberFormat="1" applyFont="1" applyFill="1" applyAlignment="1">
      <alignment horizontal="right" vertical="center" wrapText="1"/>
    </xf>
    <xf numFmtId="3" fontId="9" fillId="0" borderId="1" xfId="0" applyNumberFormat="1" applyFont="1" applyBorder="1" applyAlignment="1">
      <alignment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16" fillId="4" borderId="8" xfId="0" applyFont="1" applyFill="1" applyBorder="1" applyAlignment="1">
      <alignment horizontal="center"/>
    </xf>
    <xf numFmtId="43" fontId="0" fillId="0" borderId="9" xfId="4" applyFont="1" applyBorder="1"/>
    <xf numFmtId="43" fontId="0" fillId="0" borderId="10" xfId="4" applyFont="1" applyBorder="1"/>
    <xf numFmtId="165" fontId="9" fillId="3" borderId="0" xfId="4" applyNumberFormat="1" applyFont="1" applyFill="1" applyAlignment="1">
      <alignment vertical="top" wrapText="1"/>
    </xf>
    <xf numFmtId="3" fontId="4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top" wrapText="1"/>
    </xf>
    <xf numFmtId="3" fontId="9" fillId="0" borderId="0" xfId="0" applyNumberFormat="1" applyFont="1"/>
    <xf numFmtId="3" fontId="9" fillId="3" borderId="0" xfId="0" applyNumberFormat="1" applyFont="1" applyFill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18" fillId="0" borderId="0" xfId="1" applyFont="1"/>
    <xf numFmtId="43" fontId="18" fillId="0" borderId="0" xfId="4" applyFont="1"/>
    <xf numFmtId="0" fontId="17" fillId="0" borderId="0" xfId="1" applyFont="1"/>
    <xf numFmtId="43" fontId="19" fillId="0" borderId="0" xfId="1" applyNumberFormat="1" applyFont="1"/>
    <xf numFmtId="0" fontId="20" fillId="0" borderId="0" xfId="1" applyFont="1"/>
    <xf numFmtId="3" fontId="0" fillId="0" borderId="0" xfId="0" applyNumberFormat="1"/>
    <xf numFmtId="3" fontId="9" fillId="3" borderId="1" xfId="0" applyNumberFormat="1" applyFont="1" applyFill="1" applyBorder="1" applyAlignment="1">
      <alignment vertical="top" wrapText="1"/>
    </xf>
    <xf numFmtId="165" fontId="0" fillId="0" borderId="9" xfId="4" applyNumberFormat="1" applyFont="1" applyBorder="1"/>
    <xf numFmtId="14" fontId="4" fillId="2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3" fontId="9" fillId="3" borderId="2" xfId="0" applyNumberFormat="1" applyFont="1" applyFill="1" applyBorder="1" applyAlignment="1">
      <alignment vertical="top" wrapText="1"/>
    </xf>
    <xf numFmtId="3" fontId="9" fillId="3" borderId="1" xfId="0" applyNumberFormat="1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21" fillId="5" borderId="11" xfId="0" applyFont="1" applyFill="1" applyBorder="1" applyAlignment="1"/>
    <xf numFmtId="0" fontId="21" fillId="5" borderId="12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6" borderId="14" xfId="0" applyFont="1" applyFill="1" applyBorder="1" applyAlignment="1"/>
    <xf numFmtId="167" fontId="21" fillId="6" borderId="15" xfId="0" applyNumberFormat="1" applyFont="1" applyFill="1" applyBorder="1" applyAlignment="1">
      <alignment horizontal="right"/>
    </xf>
    <xf numFmtId="167" fontId="21" fillId="6" borderId="14" xfId="0" applyNumberFormat="1" applyFont="1" applyFill="1" applyBorder="1" applyAlignment="1">
      <alignment horizontal="right"/>
    </xf>
    <xf numFmtId="167" fontId="21" fillId="6" borderId="0" xfId="0" applyNumberFormat="1" applyFont="1" applyFill="1" applyBorder="1" applyAlignment="1">
      <alignment horizontal="right"/>
    </xf>
    <xf numFmtId="9" fontId="21" fillId="6" borderId="14" xfId="3" applyNumberFormat="1" applyFont="1" applyFill="1" applyBorder="1" applyAlignment="1">
      <alignment horizontal="right"/>
    </xf>
    <xf numFmtId="0" fontId="21" fillId="7" borderId="14" xfId="0" applyFont="1" applyFill="1" applyBorder="1" applyAlignment="1"/>
    <xf numFmtId="167" fontId="21" fillId="7" borderId="15" xfId="0" applyNumberFormat="1" applyFont="1" applyFill="1" applyBorder="1" applyAlignment="1">
      <alignment horizontal="right"/>
    </xf>
    <xf numFmtId="167" fontId="21" fillId="7" borderId="14" xfId="0" applyNumberFormat="1" applyFont="1" applyFill="1" applyBorder="1" applyAlignment="1">
      <alignment horizontal="right"/>
    </xf>
    <xf numFmtId="167" fontId="21" fillId="7" borderId="0" xfId="0" applyNumberFormat="1" applyFont="1" applyFill="1" applyBorder="1" applyAlignment="1">
      <alignment horizontal="right"/>
    </xf>
    <xf numFmtId="9" fontId="21" fillId="6" borderId="14" xfId="3" applyFont="1" applyFill="1" applyBorder="1" applyAlignment="1">
      <alignment horizontal="right"/>
    </xf>
    <xf numFmtId="0" fontId="21" fillId="5" borderId="14" xfId="0" applyFont="1" applyFill="1" applyBorder="1" applyAlignment="1"/>
    <xf numFmtId="167" fontId="21" fillId="5" borderId="15" xfId="0" applyNumberFormat="1" applyFont="1" applyFill="1" applyBorder="1" applyAlignment="1">
      <alignment horizontal="right"/>
    </xf>
    <xf numFmtId="167" fontId="21" fillId="5" borderId="14" xfId="0" applyNumberFormat="1" applyFont="1" applyFill="1" applyBorder="1" applyAlignment="1">
      <alignment horizontal="right"/>
    </xf>
    <xf numFmtId="167" fontId="21" fillId="5" borderId="0" xfId="0" applyNumberFormat="1" applyFont="1" applyFill="1" applyBorder="1" applyAlignment="1">
      <alignment horizontal="right"/>
    </xf>
    <xf numFmtId="0" fontId="21" fillId="5" borderId="20" xfId="0" applyFont="1" applyFill="1" applyBorder="1" applyAlignment="1"/>
    <xf numFmtId="167" fontId="21" fillId="5" borderId="21" xfId="0" applyNumberFormat="1" applyFont="1" applyFill="1" applyBorder="1" applyAlignment="1">
      <alignment horizontal="right"/>
    </xf>
    <xf numFmtId="167" fontId="21" fillId="5" borderId="22" xfId="0" applyNumberFormat="1" applyFont="1" applyFill="1" applyBorder="1" applyAlignment="1">
      <alignment horizontal="right"/>
    </xf>
    <xf numFmtId="167" fontId="21" fillId="5" borderId="23" xfId="0" applyNumberFormat="1" applyFont="1" applyFill="1" applyBorder="1" applyAlignment="1">
      <alignment horizontal="right"/>
    </xf>
    <xf numFmtId="167" fontId="21" fillId="5" borderId="20" xfId="0" applyNumberFormat="1" applyFont="1" applyFill="1" applyBorder="1" applyAlignment="1">
      <alignment horizontal="right"/>
    </xf>
    <xf numFmtId="9" fontId="21" fillId="6" borderId="20" xfId="3" applyFont="1" applyFill="1" applyBorder="1" applyAlignment="1">
      <alignment horizontal="right"/>
    </xf>
    <xf numFmtId="0" fontId="23" fillId="0" borderId="0" xfId="0" applyFont="1" applyFill="1" applyBorder="1" applyAlignment="1"/>
    <xf numFmtId="0" fontId="22" fillId="0" borderId="14" xfId="0" applyFont="1" applyFill="1" applyBorder="1" applyAlignment="1"/>
    <xf numFmtId="0" fontId="22" fillId="0" borderId="15" xfId="0" applyFont="1" applyFill="1" applyBorder="1" applyAlignment="1"/>
    <xf numFmtId="0" fontId="22" fillId="0" borderId="0" xfId="0" applyFont="1" applyFill="1" applyBorder="1" applyAlignment="1"/>
    <xf numFmtId="167" fontId="22" fillId="0" borderId="15" xfId="0" applyNumberFormat="1" applyFont="1" applyFill="1" applyBorder="1" applyAlignment="1"/>
    <xf numFmtId="167" fontId="22" fillId="0" borderId="0" xfId="0" applyNumberFormat="1" applyFont="1" applyFill="1" applyBorder="1" applyAlignment="1"/>
    <xf numFmtId="167" fontId="22" fillId="0" borderId="14" xfId="0" applyNumberFormat="1" applyFont="1" applyFill="1" applyBorder="1" applyAlignment="1"/>
    <xf numFmtId="0" fontId="22" fillId="0" borderId="16" xfId="0" applyFont="1" applyFill="1" applyBorder="1" applyAlignment="1">
      <alignment wrapText="1"/>
    </xf>
    <xf numFmtId="167" fontId="22" fillId="0" borderId="17" xfId="0" applyNumberFormat="1" applyFont="1" applyFill="1" applyBorder="1" applyAlignment="1"/>
    <xf numFmtId="167" fontId="22" fillId="0" borderId="18" xfId="0" applyNumberFormat="1" applyFont="1" applyFill="1" applyBorder="1" applyAlignment="1"/>
    <xf numFmtId="167" fontId="22" fillId="0" borderId="16" xfId="0" applyNumberFormat="1" applyFont="1" applyFill="1" applyBorder="1" applyAlignment="1"/>
    <xf numFmtId="0" fontId="22" fillId="0" borderId="16" xfId="0" applyFont="1" applyFill="1" applyBorder="1" applyAlignment="1"/>
    <xf numFmtId="167" fontId="22" fillId="0" borderId="17" xfId="0" applyNumberFormat="1" applyFont="1" applyFill="1" applyBorder="1" applyAlignment="1">
      <alignment horizontal="right"/>
    </xf>
    <xf numFmtId="167" fontId="22" fillId="0" borderId="18" xfId="0" applyNumberFormat="1" applyFont="1" applyFill="1" applyBorder="1" applyAlignment="1">
      <alignment horizontal="right"/>
    </xf>
    <xf numFmtId="167" fontId="22" fillId="0" borderId="16" xfId="0" applyNumberFormat="1" applyFont="1" applyFill="1" applyBorder="1" applyAlignment="1">
      <alignment horizontal="right"/>
    </xf>
    <xf numFmtId="167" fontId="22" fillId="0" borderId="15" xfId="0" applyNumberFormat="1" applyFont="1" applyFill="1" applyBorder="1" applyAlignment="1">
      <alignment horizontal="right"/>
    </xf>
    <xf numFmtId="167" fontId="22" fillId="0" borderId="0" xfId="0" applyNumberFormat="1" applyFont="1" applyFill="1" applyBorder="1" applyAlignment="1">
      <alignment horizontal="right"/>
    </xf>
    <xf numFmtId="167" fontId="22" fillId="0" borderId="14" xfId="0" applyNumberFormat="1" applyFont="1" applyFill="1" applyBorder="1" applyAlignment="1">
      <alignment horizontal="right"/>
    </xf>
    <xf numFmtId="9" fontId="22" fillId="0" borderId="17" xfId="0" applyNumberFormat="1" applyFont="1" applyFill="1" applyBorder="1" applyAlignment="1">
      <alignment horizontal="right"/>
    </xf>
    <xf numFmtId="9" fontId="22" fillId="0" borderId="18" xfId="0" applyNumberFormat="1" applyFont="1" applyFill="1" applyBorder="1" applyAlignment="1">
      <alignment horizontal="right"/>
    </xf>
    <xf numFmtId="9" fontId="22" fillId="0" borderId="16" xfId="0" applyNumberFormat="1" applyFont="1" applyFill="1" applyBorder="1" applyAlignment="1">
      <alignment horizontal="right"/>
    </xf>
    <xf numFmtId="9" fontId="22" fillId="0" borderId="16" xfId="3" applyFont="1" applyFill="1" applyBorder="1" applyAlignment="1">
      <alignment horizontal="right"/>
    </xf>
    <xf numFmtId="0" fontId="22" fillId="0" borderId="14" xfId="0" applyFont="1" applyFill="1" applyBorder="1" applyAlignment="1">
      <alignment wrapText="1"/>
    </xf>
    <xf numFmtId="0" fontId="23" fillId="0" borderId="15" xfId="0" applyFont="1" applyFill="1" applyBorder="1" applyAlignment="1"/>
    <xf numFmtId="167" fontId="22" fillId="0" borderId="19" xfId="0" applyNumberFormat="1" applyFont="1" applyFill="1" applyBorder="1" applyAlignment="1"/>
    <xf numFmtId="167" fontId="23" fillId="0" borderId="14" xfId="0" applyNumberFormat="1" applyFont="1" applyFill="1" applyBorder="1" applyAlignment="1"/>
  </cellXfs>
  <cellStyles count="5">
    <cellStyle name="Millares" xfId="4" builtinId="3"/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0DC8-191D-4404-BDC8-DACA67FD250A}">
  <dimension ref="A1:J113"/>
  <sheetViews>
    <sheetView workbookViewId="0"/>
  </sheetViews>
  <sheetFormatPr baseColWidth="10" defaultRowHeight="15" x14ac:dyDescent="0.3"/>
  <cols>
    <col min="1" max="1" width="40" customWidth="1"/>
    <col min="2" max="2" width="20" customWidth="1"/>
    <col min="3" max="3" width="2.7109375" customWidth="1"/>
    <col min="4" max="4" width="20" customWidth="1"/>
  </cols>
  <sheetData>
    <row r="1" spans="1:9" ht="15.75" thickBot="1" x14ac:dyDescent="0.35">
      <c r="A1" s="13"/>
    </row>
    <row r="2" spans="1:9" ht="15" customHeight="1" x14ac:dyDescent="0.3">
      <c r="A2" s="7" t="s">
        <v>116</v>
      </c>
      <c r="B2" s="82" t="s">
        <v>111</v>
      </c>
      <c r="C2" s="84"/>
      <c r="D2" s="82" t="s">
        <v>112</v>
      </c>
    </row>
    <row r="3" spans="1:9" ht="15.75" thickBot="1" x14ac:dyDescent="0.35">
      <c r="A3" s="8" t="s">
        <v>0</v>
      </c>
      <c r="B3" s="83" t="s">
        <v>77</v>
      </c>
      <c r="C3" s="85"/>
      <c r="D3" s="83" t="s">
        <v>77</v>
      </c>
    </row>
    <row r="4" spans="1:9" ht="8.25" customHeight="1" x14ac:dyDescent="0.3">
      <c r="A4" s="15"/>
      <c r="C4" s="15"/>
      <c r="I4" s="1"/>
    </row>
    <row r="5" spans="1:9" x14ac:dyDescent="0.3">
      <c r="A5" s="12" t="s">
        <v>1</v>
      </c>
      <c r="B5" s="54">
        <f>+B7+B14+B17+B21+B25</f>
        <v>5209821.5979999276</v>
      </c>
      <c r="C5" s="64"/>
      <c r="D5" s="54">
        <f>+D7+D14+D17+D21+D25</f>
        <v>5095140.99</v>
      </c>
      <c r="I5" s="1"/>
    </row>
    <row r="6" spans="1:9" x14ac:dyDescent="0.3">
      <c r="A6" s="41" t="s">
        <v>99</v>
      </c>
      <c r="B6" s="40">
        <f>B5/$B$50</f>
        <v>0.79074392487543621</v>
      </c>
      <c r="C6" s="15"/>
      <c r="D6" s="40">
        <f>D5/$B$50</f>
        <v>0.77333776376777419</v>
      </c>
      <c r="I6" s="2"/>
    </row>
    <row r="7" spans="1:9" x14ac:dyDescent="0.3">
      <c r="A7" s="4" t="s">
        <v>78</v>
      </c>
      <c r="B7" s="55">
        <f>SUM(B8:B12)</f>
        <v>3030013.0700000003</v>
      </c>
      <c r="C7" s="65"/>
      <c r="D7" s="55">
        <f>SUM(D8:D12)</f>
        <v>2951850.14</v>
      </c>
      <c r="I7" s="2"/>
    </row>
    <row r="8" spans="1:9" ht="15" customHeight="1" x14ac:dyDescent="0.3">
      <c r="A8" s="42" t="s">
        <v>2</v>
      </c>
      <c r="B8" s="56">
        <v>1891128.28</v>
      </c>
      <c r="C8" s="66"/>
      <c r="D8" s="56">
        <v>1922756.7</v>
      </c>
      <c r="I8" s="2"/>
    </row>
    <row r="9" spans="1:9" ht="15" customHeight="1" x14ac:dyDescent="0.3">
      <c r="A9" s="42" t="s">
        <v>71</v>
      </c>
      <c r="B9" s="56">
        <v>11367.83</v>
      </c>
      <c r="C9" s="66"/>
      <c r="D9" s="56">
        <v>2772.7</v>
      </c>
      <c r="I9" s="2"/>
    </row>
    <row r="10" spans="1:9" ht="15" customHeight="1" x14ac:dyDescent="0.3">
      <c r="A10" s="42" t="s">
        <v>3</v>
      </c>
      <c r="B10" s="56">
        <v>10831.2</v>
      </c>
      <c r="C10" s="66"/>
      <c r="D10" s="56">
        <f>6522.3+9142.8+2799.71</f>
        <v>18464.809999999998</v>
      </c>
    </row>
    <row r="11" spans="1:9" ht="15" customHeight="1" x14ac:dyDescent="0.3">
      <c r="A11" s="42" t="s">
        <v>4</v>
      </c>
      <c r="B11" s="56">
        <v>1113645.76</v>
      </c>
      <c r="C11" s="66"/>
      <c r="D11" s="56">
        <f>1004446.42+369.51</f>
        <v>1004815.93</v>
      </c>
    </row>
    <row r="12" spans="1:9" ht="15" customHeight="1" x14ac:dyDescent="0.3">
      <c r="A12" s="42" t="s">
        <v>79</v>
      </c>
      <c r="B12" s="56">
        <v>3040</v>
      </c>
      <c r="C12" s="66"/>
      <c r="D12" s="56">
        <v>3040</v>
      </c>
    </row>
    <row r="13" spans="1:9" ht="15" customHeight="1" x14ac:dyDescent="0.3">
      <c r="A13" s="43"/>
      <c r="B13" s="57"/>
      <c r="C13" s="66"/>
      <c r="D13" s="57"/>
    </row>
    <row r="14" spans="1:9" x14ac:dyDescent="0.3">
      <c r="A14" s="4" t="s">
        <v>5</v>
      </c>
      <c r="B14" s="55">
        <f>SUM(B15:B15)</f>
        <v>1819192.43</v>
      </c>
      <c r="C14" s="65"/>
      <c r="D14" s="55">
        <f>SUM(D15:D15)</f>
        <v>1795618.53</v>
      </c>
    </row>
    <row r="15" spans="1:9" ht="15" customHeight="1" x14ac:dyDescent="0.3">
      <c r="A15" s="3" t="s">
        <v>6</v>
      </c>
      <c r="B15" s="56">
        <v>1819192.43</v>
      </c>
      <c r="C15" s="66"/>
      <c r="D15" s="56">
        <f>1796396.74+2021.5-2799.71</f>
        <v>1795618.53</v>
      </c>
    </row>
    <row r="16" spans="1:9" ht="15" customHeight="1" x14ac:dyDescent="0.3">
      <c r="A16" s="15"/>
      <c r="B16" s="57"/>
      <c r="C16" s="66"/>
      <c r="D16" s="57"/>
    </row>
    <row r="17" spans="1:10" ht="24" x14ac:dyDescent="0.3">
      <c r="A17" s="4" t="s">
        <v>7</v>
      </c>
      <c r="B17" s="55">
        <v>15561.07</v>
      </c>
      <c r="C17" s="65"/>
      <c r="D17" s="55">
        <v>15561.07</v>
      </c>
    </row>
    <row r="18" spans="1:10" ht="15" customHeight="1" x14ac:dyDescent="0.3">
      <c r="A18" s="3" t="s">
        <v>80</v>
      </c>
      <c r="B18" s="56">
        <v>15561.07</v>
      </c>
      <c r="C18" s="65"/>
      <c r="D18" s="56">
        <v>15561.07</v>
      </c>
    </row>
    <row r="19" spans="1:10" ht="15" customHeight="1" x14ac:dyDescent="0.3">
      <c r="A19" s="3" t="s">
        <v>81</v>
      </c>
      <c r="B19" s="56">
        <v>0</v>
      </c>
      <c r="C19" s="67"/>
      <c r="D19" s="56">
        <v>0</v>
      </c>
    </row>
    <row r="20" spans="1:10" ht="15" customHeight="1" x14ac:dyDescent="0.3">
      <c r="A20" s="15"/>
      <c r="B20" s="57"/>
      <c r="C20" s="66"/>
      <c r="D20" s="57"/>
    </row>
    <row r="21" spans="1:10" x14ac:dyDescent="0.3">
      <c r="A21" s="4" t="s">
        <v>72</v>
      </c>
      <c r="B21" s="55">
        <f>SUM(B22:B23)</f>
        <v>158150.30799992775</v>
      </c>
      <c r="C21" s="65"/>
      <c r="D21" s="55">
        <f>SUM(D22:D23)</f>
        <v>145206.53</v>
      </c>
    </row>
    <row r="22" spans="1:10" ht="15" customHeight="1" x14ac:dyDescent="0.3">
      <c r="A22" s="3" t="s">
        <v>10</v>
      </c>
      <c r="B22" s="56">
        <v>10000</v>
      </c>
      <c r="C22" s="66"/>
      <c r="D22" s="56">
        <v>10000</v>
      </c>
    </row>
    <row r="23" spans="1:10" ht="15" customHeight="1" x14ac:dyDescent="0.3">
      <c r="A23" s="3" t="s">
        <v>9</v>
      </c>
      <c r="B23" s="56">
        <v>148150.30799992775</v>
      </c>
      <c r="C23" s="66"/>
      <c r="D23" s="56">
        <v>135206.53</v>
      </c>
    </row>
    <row r="24" spans="1:10" ht="15" customHeight="1" x14ac:dyDescent="0.3">
      <c r="A24" s="15"/>
      <c r="B24" s="57"/>
      <c r="C24" s="66"/>
      <c r="D24" s="57"/>
    </row>
    <row r="25" spans="1:10" x14ac:dyDescent="0.3">
      <c r="A25" s="4" t="s">
        <v>73</v>
      </c>
      <c r="B25" s="55">
        <v>186904.72</v>
      </c>
      <c r="C25" s="65"/>
      <c r="D25" s="55">
        <v>186904.72</v>
      </c>
    </row>
    <row r="26" spans="1:10" ht="15" customHeight="1" x14ac:dyDescent="0.3">
      <c r="A26" s="15"/>
      <c r="B26" s="57"/>
      <c r="C26" s="66"/>
      <c r="D26" s="57"/>
    </row>
    <row r="27" spans="1:10" x14ac:dyDescent="0.3">
      <c r="A27" s="12" t="s">
        <v>11</v>
      </c>
      <c r="B27" s="58">
        <f>+B29+B32+B39+B44+B46</f>
        <v>1378685.04</v>
      </c>
      <c r="C27" s="68"/>
      <c r="D27" s="58">
        <f>+D29+D32+D39+D44+D46</f>
        <v>2331137.1800000002</v>
      </c>
      <c r="H27" s="75"/>
      <c r="J27" s="75"/>
    </row>
    <row r="28" spans="1:10" x14ac:dyDescent="0.3">
      <c r="A28" s="41" t="s">
        <v>99</v>
      </c>
      <c r="B28" s="40">
        <f>B27/$B$50</f>
        <v>0.20925607512456379</v>
      </c>
      <c r="C28" s="15"/>
      <c r="D28" s="40">
        <f>D27/$B$50</f>
        <v>0.3538187495410437</v>
      </c>
    </row>
    <row r="29" spans="1:10" x14ac:dyDescent="0.3">
      <c r="A29" s="4" t="s">
        <v>12</v>
      </c>
      <c r="B29" s="55">
        <f>SUM(B30:B30)</f>
        <v>170778.54</v>
      </c>
      <c r="C29" s="66"/>
      <c r="D29" s="55">
        <f>SUM(D30:D30)</f>
        <v>258683.47</v>
      </c>
    </row>
    <row r="30" spans="1:10" ht="15" customHeight="1" x14ac:dyDescent="0.3">
      <c r="A30" s="3" t="s">
        <v>13</v>
      </c>
      <c r="B30" s="56">
        <v>170778.54</v>
      </c>
      <c r="C30" s="66"/>
      <c r="D30" s="56">
        <v>258683.47</v>
      </c>
    </row>
    <row r="31" spans="1:10" ht="15" customHeight="1" x14ac:dyDescent="0.3">
      <c r="A31" s="15"/>
      <c r="B31" s="57"/>
      <c r="C31" s="66"/>
      <c r="D31" s="57"/>
    </row>
    <row r="32" spans="1:10" x14ac:dyDescent="0.3">
      <c r="A32" s="4" t="s">
        <v>82</v>
      </c>
      <c r="B32" s="55">
        <f>SUM(B33:B37)</f>
        <v>545985.81000000006</v>
      </c>
      <c r="C32" s="65"/>
      <c r="D32" s="55">
        <f>SUM(D33:D37)</f>
        <v>490704.17000000004</v>
      </c>
    </row>
    <row r="33" spans="1:8" ht="15" customHeight="1" x14ac:dyDescent="0.3">
      <c r="A33" s="3" t="s">
        <v>74</v>
      </c>
      <c r="B33" s="56">
        <v>345522.93000000005</v>
      </c>
      <c r="C33" s="66"/>
      <c r="D33" s="56">
        <v>271926</v>
      </c>
    </row>
    <row r="34" spans="1:8" ht="15" customHeight="1" x14ac:dyDescent="0.3">
      <c r="A34" s="3" t="s">
        <v>14</v>
      </c>
      <c r="B34" s="56">
        <v>155268.55000000002</v>
      </c>
      <c r="C34" s="66"/>
      <c r="D34" s="56">
        <v>155983.07</v>
      </c>
    </row>
    <row r="35" spans="1:8" ht="15" customHeight="1" x14ac:dyDescent="0.3">
      <c r="A35" s="3" t="s">
        <v>101</v>
      </c>
      <c r="B35" s="56">
        <v>3566.91</v>
      </c>
      <c r="C35" s="66"/>
      <c r="D35" s="56">
        <f>249.12+1272.41</f>
        <v>1521.5300000000002</v>
      </c>
    </row>
    <row r="36" spans="1:8" ht="15" customHeight="1" x14ac:dyDescent="0.3">
      <c r="A36" s="3" t="s">
        <v>15</v>
      </c>
      <c r="B36" s="56">
        <v>10546.01</v>
      </c>
      <c r="C36" s="66"/>
      <c r="D36" s="56">
        <v>14998.81</v>
      </c>
    </row>
    <row r="37" spans="1:8" ht="15" customHeight="1" x14ac:dyDescent="0.3">
      <c r="A37" s="3" t="s">
        <v>16</v>
      </c>
      <c r="B37" s="56">
        <v>31081.41</v>
      </c>
      <c r="C37" s="67"/>
      <c r="D37" s="56">
        <v>46274.76</v>
      </c>
    </row>
    <row r="38" spans="1:8" ht="15" customHeight="1" x14ac:dyDescent="0.3">
      <c r="A38" s="15"/>
      <c r="B38" s="57"/>
      <c r="C38" s="66"/>
      <c r="D38" s="57"/>
    </row>
    <row r="39" spans="1:8" x14ac:dyDescent="0.3">
      <c r="A39" s="4" t="s">
        <v>17</v>
      </c>
      <c r="B39" s="55">
        <f>SUM(B40:B42)</f>
        <v>218981.99000000002</v>
      </c>
      <c r="C39" s="65"/>
      <c r="D39" s="55">
        <f>SUM(D40:D42)</f>
        <v>405461.15</v>
      </c>
    </row>
    <row r="40" spans="1:8" ht="15" customHeight="1" x14ac:dyDescent="0.3">
      <c r="A40" s="3" t="s">
        <v>29</v>
      </c>
      <c r="B40" s="56">
        <v>0</v>
      </c>
      <c r="C40" s="66"/>
      <c r="D40" s="56">
        <v>229363.41</v>
      </c>
      <c r="G40" s="1"/>
    </row>
    <row r="41" spans="1:8" ht="15" customHeight="1" x14ac:dyDescent="0.3">
      <c r="A41" s="3" t="s">
        <v>8</v>
      </c>
      <c r="B41" s="56">
        <v>6119.51</v>
      </c>
      <c r="C41" s="66"/>
      <c r="D41" s="56">
        <v>2022.51</v>
      </c>
      <c r="G41" s="1"/>
    </row>
    <row r="42" spans="1:8" ht="15" customHeight="1" x14ac:dyDescent="0.3">
      <c r="A42" s="3" t="s">
        <v>9</v>
      </c>
      <c r="B42" s="56">
        <v>212862.48</v>
      </c>
      <c r="C42" s="66"/>
      <c r="D42" s="56">
        <v>174075.23</v>
      </c>
      <c r="G42" s="1"/>
    </row>
    <row r="43" spans="1:8" ht="15" customHeight="1" x14ac:dyDescent="0.3">
      <c r="A43" s="15"/>
      <c r="B43" s="57"/>
      <c r="C43" s="66"/>
      <c r="D43" s="57"/>
      <c r="G43" s="1"/>
    </row>
    <row r="44" spans="1:8" x14ac:dyDescent="0.3">
      <c r="A44" s="4" t="s">
        <v>67</v>
      </c>
      <c r="B44" s="55">
        <v>94160.239999999991</v>
      </c>
      <c r="C44" s="66"/>
      <c r="D44" s="55">
        <v>101926.20000000001</v>
      </c>
      <c r="G44" s="1"/>
    </row>
    <row r="45" spans="1:8" ht="15" customHeight="1" x14ac:dyDescent="0.3">
      <c r="A45" s="15"/>
      <c r="B45" s="57"/>
      <c r="C45" s="66"/>
      <c r="D45" s="57"/>
    </row>
    <row r="46" spans="1:8" x14ac:dyDescent="0.3">
      <c r="A46" s="4" t="s">
        <v>83</v>
      </c>
      <c r="B46" s="55">
        <f>SUM(B47:B47)</f>
        <v>348778.45999999996</v>
      </c>
      <c r="C46" s="65"/>
      <c r="D46" s="55">
        <f>SUM(D47:D47)</f>
        <v>1074362.1900000002</v>
      </c>
      <c r="F46" s="75"/>
      <c r="H46" s="75"/>
    </row>
    <row r="47" spans="1:8" ht="15" customHeight="1" x14ac:dyDescent="0.3">
      <c r="A47" s="3" t="s">
        <v>68</v>
      </c>
      <c r="B47" s="56">
        <v>348778.45999999996</v>
      </c>
      <c r="C47" s="66"/>
      <c r="D47" s="56">
        <v>1074362.1900000002</v>
      </c>
    </row>
    <row r="48" spans="1:8" ht="15.75" customHeight="1" thickBot="1" x14ac:dyDescent="0.35">
      <c r="A48" s="10"/>
      <c r="B48" s="59"/>
      <c r="C48" s="69"/>
      <c r="D48" s="59"/>
    </row>
    <row r="49" spans="1:8" ht="15" customHeight="1" x14ac:dyDescent="0.3">
      <c r="A49" s="12"/>
      <c r="B49" s="58"/>
      <c r="C49" s="86"/>
      <c r="D49" s="58"/>
    </row>
    <row r="50" spans="1:8" ht="15.75" thickBot="1" x14ac:dyDescent="0.35">
      <c r="A50" s="5" t="s">
        <v>18</v>
      </c>
      <c r="B50" s="60">
        <f>+B27+B5</f>
        <v>6588506.6379999276</v>
      </c>
      <c r="C50" s="87"/>
      <c r="D50" s="60">
        <f>+D27+D5</f>
        <v>7426278.1699999999</v>
      </c>
    </row>
    <row r="51" spans="1:8" ht="15.75" thickBot="1" x14ac:dyDescent="0.35"/>
    <row r="52" spans="1:8" ht="15" customHeight="1" x14ac:dyDescent="0.3">
      <c r="A52" s="7" t="s">
        <v>115</v>
      </c>
      <c r="B52" s="82" t="str">
        <f>B2</f>
        <v>30.06.2018</v>
      </c>
      <c r="C52" s="84"/>
      <c r="D52" s="82" t="str">
        <f>D2</f>
        <v>31.12.2017</v>
      </c>
    </row>
    <row r="53" spans="1:8" ht="15.75" thickBot="1" x14ac:dyDescent="0.35">
      <c r="A53" s="8" t="s">
        <v>19</v>
      </c>
      <c r="B53" s="83" t="s">
        <v>77</v>
      </c>
      <c r="C53" s="85"/>
      <c r="D53" s="83" t="s">
        <v>77</v>
      </c>
    </row>
    <row r="54" spans="1:8" x14ac:dyDescent="0.3">
      <c r="A54" s="15"/>
      <c r="B54" s="16"/>
      <c r="C54" s="15"/>
      <c r="D54" s="16"/>
    </row>
    <row r="55" spans="1:8" x14ac:dyDescent="0.3">
      <c r="A55" s="12" t="s">
        <v>20</v>
      </c>
      <c r="B55" s="58">
        <f>+B57+B74+B77+B79</f>
        <v>1355232.0099999991</v>
      </c>
      <c r="C55" s="68"/>
      <c r="D55" s="58">
        <f>+D57+D74+D77</f>
        <v>2002538.7700000003</v>
      </c>
      <c r="H55" s="75"/>
    </row>
    <row r="56" spans="1:8" x14ac:dyDescent="0.3">
      <c r="A56" s="41" t="s">
        <v>100</v>
      </c>
      <c r="B56" s="40">
        <f>B55/$B$106</f>
        <v>0.20569638676117347</v>
      </c>
      <c r="C56" s="15"/>
      <c r="D56" s="40">
        <f>D55/$B$106</f>
        <v>0.30394425921076418</v>
      </c>
    </row>
    <row r="57" spans="1:8" x14ac:dyDescent="0.3">
      <c r="A57" s="4" t="s">
        <v>21</v>
      </c>
      <c r="B57" s="55">
        <f>+B59+B62+B64+B66+B69+B72</f>
        <v>1160843.5099999993</v>
      </c>
      <c r="C57" s="67"/>
      <c r="D57" s="55">
        <f>+D59+D62+D64+D66+D69+D72</f>
        <v>1784379.6500000004</v>
      </c>
    </row>
    <row r="58" spans="1:8" ht="15" customHeight="1" x14ac:dyDescent="0.3">
      <c r="A58" s="15"/>
      <c r="B58" s="57"/>
      <c r="C58" s="66"/>
      <c r="D58" s="57"/>
    </row>
    <row r="59" spans="1:8" x14ac:dyDescent="0.3">
      <c r="A59" s="4" t="s">
        <v>22</v>
      </c>
      <c r="B59" s="55">
        <v>448950</v>
      </c>
      <c r="C59" s="65"/>
      <c r="D59" s="55">
        <v>448950</v>
      </c>
    </row>
    <row r="60" spans="1:8" ht="15" customHeight="1" x14ac:dyDescent="0.3">
      <c r="A60" s="3" t="s">
        <v>23</v>
      </c>
      <c r="B60" s="56">
        <v>448950</v>
      </c>
      <c r="C60" s="66"/>
      <c r="D60" s="56">
        <v>448950</v>
      </c>
    </row>
    <row r="61" spans="1:8" ht="15" customHeight="1" x14ac:dyDescent="0.3">
      <c r="A61" s="15"/>
      <c r="B61" s="57"/>
      <c r="C61" s="66"/>
      <c r="D61" s="57"/>
    </row>
    <row r="62" spans="1:8" x14ac:dyDescent="0.3">
      <c r="A62" s="4" t="s">
        <v>24</v>
      </c>
      <c r="B62" s="55">
        <v>6324995.2699999996</v>
      </c>
      <c r="C62" s="65"/>
      <c r="D62" s="55">
        <v>6324995.2699999996</v>
      </c>
    </row>
    <row r="63" spans="1:8" ht="15" customHeight="1" x14ac:dyDescent="0.3">
      <c r="A63" s="15"/>
      <c r="B63" s="57"/>
      <c r="C63" s="66"/>
      <c r="D63" s="57"/>
    </row>
    <row r="64" spans="1:8" x14ac:dyDescent="0.3">
      <c r="A64" s="4" t="s">
        <v>84</v>
      </c>
      <c r="B64" s="55">
        <v>-205584.97</v>
      </c>
      <c r="C64" s="65"/>
      <c r="D64" s="55">
        <v>-147133.35</v>
      </c>
      <c r="H64" s="75"/>
    </row>
    <row r="65" spans="1:4" ht="15" customHeight="1" x14ac:dyDescent="0.3">
      <c r="A65" s="15"/>
      <c r="B65" s="57"/>
      <c r="C65" s="66"/>
      <c r="D65" s="57"/>
    </row>
    <row r="66" spans="1:4" x14ac:dyDescent="0.3">
      <c r="A66" s="4" t="s">
        <v>25</v>
      </c>
      <c r="B66" s="55">
        <f>SUM(B67)</f>
        <v>-227800.44</v>
      </c>
      <c r="C66" s="65"/>
      <c r="D66" s="55">
        <f>SUM(D67)</f>
        <v>-234456.56</v>
      </c>
    </row>
    <row r="67" spans="1:4" ht="15" customHeight="1" x14ac:dyDescent="0.3">
      <c r="A67" s="3" t="s">
        <v>26</v>
      </c>
      <c r="B67" s="56">
        <f>-227973.06+172.62</f>
        <v>-227800.44</v>
      </c>
      <c r="C67" s="66"/>
      <c r="D67" s="56">
        <f>-207853.35-445.43-26157.78</f>
        <v>-234456.56</v>
      </c>
    </row>
    <row r="68" spans="1:4" ht="15" customHeight="1" x14ac:dyDescent="0.3">
      <c r="A68" s="15"/>
      <c r="B68" s="57"/>
      <c r="C68" s="66"/>
      <c r="D68" s="57"/>
    </row>
    <row r="69" spans="1:4" x14ac:dyDescent="0.3">
      <c r="A69" s="4" t="s">
        <v>27</v>
      </c>
      <c r="B69" s="55">
        <f>SUM(B70)</f>
        <v>-4612767.46</v>
      </c>
      <c r="C69" s="66"/>
      <c r="D69" s="55">
        <f>SUM(D70)</f>
        <v>-3149419.17</v>
      </c>
    </row>
    <row r="70" spans="1:4" ht="15" customHeight="1" x14ac:dyDescent="0.3">
      <c r="A70" s="3" t="s">
        <v>69</v>
      </c>
      <c r="B70" s="56">
        <v>-4612767.46</v>
      </c>
      <c r="C70" s="66"/>
      <c r="D70" s="56">
        <v>-3149419.17</v>
      </c>
    </row>
    <row r="71" spans="1:4" ht="15" customHeight="1" x14ac:dyDescent="0.3">
      <c r="A71" s="15"/>
      <c r="B71" s="57"/>
      <c r="C71" s="66"/>
      <c r="D71" s="57"/>
    </row>
    <row r="72" spans="1:4" x14ac:dyDescent="0.3">
      <c r="A72" s="4" t="s">
        <v>28</v>
      </c>
      <c r="B72" s="55">
        <v>-566948.89000000013</v>
      </c>
      <c r="C72" s="66"/>
      <c r="D72" s="55">
        <f>-1469720.84+11164.3</f>
        <v>-1458556.54</v>
      </c>
    </row>
    <row r="73" spans="1:4" ht="15" customHeight="1" x14ac:dyDescent="0.3">
      <c r="A73" s="15"/>
      <c r="B73" s="57"/>
      <c r="C73" s="66"/>
      <c r="D73" s="57"/>
    </row>
    <row r="74" spans="1:4" x14ac:dyDescent="0.3">
      <c r="A74" s="4" t="s">
        <v>30</v>
      </c>
      <c r="B74" s="55">
        <f>SUM(B75)</f>
        <v>1529.66</v>
      </c>
      <c r="C74" s="66"/>
      <c r="D74" s="55">
        <f>SUM(D75)</f>
        <v>1529.66</v>
      </c>
    </row>
    <row r="75" spans="1:4" ht="15" customHeight="1" x14ac:dyDescent="0.3">
      <c r="A75" s="3" t="s">
        <v>31</v>
      </c>
      <c r="B75" s="56">
        <v>1529.66</v>
      </c>
      <c r="C75" s="66"/>
      <c r="D75" s="56">
        <v>1529.66</v>
      </c>
    </row>
    <row r="76" spans="1:4" ht="15" customHeight="1" x14ac:dyDescent="0.3">
      <c r="A76" s="15"/>
      <c r="B76" s="57"/>
      <c r="C76" s="66"/>
      <c r="D76" s="57"/>
    </row>
    <row r="77" spans="1:4" x14ac:dyDescent="0.3">
      <c r="A77" s="4" t="s">
        <v>32</v>
      </c>
      <c r="B77" s="55">
        <v>193031.46</v>
      </c>
      <c r="C77" s="65"/>
      <c r="D77" s="55">
        <v>216629.46</v>
      </c>
    </row>
    <row r="78" spans="1:4" x14ac:dyDescent="0.3">
      <c r="A78" s="4"/>
      <c r="B78" s="55"/>
      <c r="C78" s="65"/>
      <c r="D78" s="55"/>
    </row>
    <row r="79" spans="1:4" x14ac:dyDescent="0.3">
      <c r="A79" s="4" t="s">
        <v>110</v>
      </c>
      <c r="B79" s="55">
        <v>-172.62</v>
      </c>
      <c r="C79" s="65"/>
      <c r="D79" s="55">
        <v>0</v>
      </c>
    </row>
    <row r="80" spans="1:4" ht="15" customHeight="1" x14ac:dyDescent="0.3">
      <c r="A80" s="15"/>
      <c r="B80" s="57"/>
      <c r="C80" s="66"/>
      <c r="D80" s="57"/>
    </row>
    <row r="81" spans="1:9" x14ac:dyDescent="0.3">
      <c r="A81" s="12" t="s">
        <v>33</v>
      </c>
      <c r="B81" s="58">
        <f>+B83+B87+B89</f>
        <v>2854223.4</v>
      </c>
      <c r="C81" s="68"/>
      <c r="D81" s="58">
        <f>+D83+D87+D89</f>
        <v>2513435.61</v>
      </c>
      <c r="H81" s="75"/>
      <c r="I81" s="75"/>
    </row>
    <row r="82" spans="1:9" x14ac:dyDescent="0.3">
      <c r="A82" s="41" t="s">
        <v>100</v>
      </c>
      <c r="B82" s="40">
        <f>B81/$B$106</f>
        <v>0.43321249502451753</v>
      </c>
      <c r="C82" s="15"/>
      <c r="D82" s="40">
        <f>D81/$B$106</f>
        <v>0.38148790725055726</v>
      </c>
    </row>
    <row r="83" spans="1:9" x14ac:dyDescent="0.3">
      <c r="A83" s="4" t="s">
        <v>75</v>
      </c>
      <c r="B83" s="55">
        <f>SUM(B84:B85)</f>
        <v>2745072.98</v>
      </c>
      <c r="C83" s="65"/>
      <c r="D83" s="55">
        <f>SUM(D84:D85)</f>
        <v>2391285.17</v>
      </c>
    </row>
    <row r="84" spans="1:9" ht="15" customHeight="1" x14ac:dyDescent="0.3">
      <c r="A84" s="3" t="s">
        <v>34</v>
      </c>
      <c r="B84" s="56">
        <v>1832543.01</v>
      </c>
      <c r="C84" s="67"/>
      <c r="D84" s="56">
        <v>1451253.05</v>
      </c>
    </row>
    <row r="85" spans="1:9" ht="15" customHeight="1" x14ac:dyDescent="0.3">
      <c r="A85" s="3" t="s">
        <v>35</v>
      </c>
      <c r="B85" s="56">
        <v>912529.97</v>
      </c>
      <c r="C85" s="66"/>
      <c r="D85" s="56">
        <v>940032.12</v>
      </c>
    </row>
    <row r="86" spans="1:9" ht="15" customHeight="1" x14ac:dyDescent="0.3">
      <c r="A86" s="15"/>
      <c r="B86" s="57"/>
      <c r="C86" s="66"/>
      <c r="D86" s="57"/>
    </row>
    <row r="87" spans="1:9" x14ac:dyDescent="0.3">
      <c r="A87" s="4" t="s">
        <v>36</v>
      </c>
      <c r="B87" s="55">
        <v>71563.12000000001</v>
      </c>
      <c r="C87" s="65"/>
      <c r="D87" s="55">
        <v>71563.12000000001</v>
      </c>
    </row>
    <row r="88" spans="1:9" ht="15" customHeight="1" x14ac:dyDescent="0.3">
      <c r="A88" s="4"/>
      <c r="B88" s="55"/>
      <c r="C88" s="65"/>
      <c r="D88" s="55"/>
    </row>
    <row r="89" spans="1:9" x14ac:dyDescent="0.3">
      <c r="A89" s="4" t="s">
        <v>37</v>
      </c>
      <c r="B89" s="55">
        <v>37587.300000000003</v>
      </c>
      <c r="C89" s="65"/>
      <c r="D89" s="55">
        <v>50587.32</v>
      </c>
    </row>
    <row r="90" spans="1:9" ht="15" customHeight="1" x14ac:dyDescent="0.3">
      <c r="A90" s="15"/>
      <c r="B90" s="57"/>
      <c r="C90" s="66"/>
      <c r="D90" s="57"/>
    </row>
    <row r="91" spans="1:9" x14ac:dyDescent="0.3">
      <c r="A91" s="12" t="s">
        <v>38</v>
      </c>
      <c r="B91" s="58">
        <f>+B93+B98</f>
        <v>2379051.2299999995</v>
      </c>
      <c r="C91" s="68"/>
      <c r="D91" s="58">
        <f>+D93+D98</f>
        <v>2910303.79</v>
      </c>
      <c r="F91" s="75"/>
      <c r="H91" s="75"/>
      <c r="I91" s="75"/>
    </row>
    <row r="92" spans="1:9" x14ac:dyDescent="0.3">
      <c r="A92" s="41" t="s">
        <v>100</v>
      </c>
      <c r="B92" s="40">
        <f>B91/$B$106</f>
        <v>0.36109111821430906</v>
      </c>
      <c r="C92" s="15"/>
      <c r="D92" s="40">
        <f>D91/$B$106</f>
        <v>0.44172434650532599</v>
      </c>
    </row>
    <row r="93" spans="1:9" x14ac:dyDescent="0.3">
      <c r="A93" s="4" t="s">
        <v>39</v>
      </c>
      <c r="B93" s="55">
        <f>SUM(B94:B96)</f>
        <v>835170.73</v>
      </c>
      <c r="C93" s="65"/>
      <c r="D93" s="55">
        <f>SUM(D94:D96)</f>
        <v>1513929.62</v>
      </c>
    </row>
    <row r="94" spans="1:9" ht="15" customHeight="1" x14ac:dyDescent="0.3">
      <c r="A94" s="3" t="s">
        <v>40</v>
      </c>
      <c r="B94" s="56">
        <v>216988.3</v>
      </c>
      <c r="C94" s="67"/>
      <c r="D94" s="56">
        <v>844102.36</v>
      </c>
    </row>
    <row r="95" spans="1:9" ht="15" customHeight="1" x14ac:dyDescent="0.3">
      <c r="A95" s="3" t="s">
        <v>8</v>
      </c>
      <c r="B95" s="56">
        <v>1996.55</v>
      </c>
      <c r="C95" s="66"/>
      <c r="D95" s="56">
        <v>1996.55</v>
      </c>
    </row>
    <row r="96" spans="1:9" ht="15" customHeight="1" x14ac:dyDescent="0.3">
      <c r="A96" s="3" t="s">
        <v>41</v>
      </c>
      <c r="B96" s="56">
        <v>616185.88</v>
      </c>
      <c r="C96" s="66"/>
      <c r="D96" s="56">
        <v>667830.71</v>
      </c>
    </row>
    <row r="97" spans="1:4" ht="15" customHeight="1" x14ac:dyDescent="0.3">
      <c r="A97" s="15"/>
      <c r="B97" s="57"/>
      <c r="C97" s="66"/>
      <c r="D97" s="57"/>
    </row>
    <row r="98" spans="1:4" x14ac:dyDescent="0.3">
      <c r="A98" s="4" t="s">
        <v>42</v>
      </c>
      <c r="B98" s="55">
        <f>SUM(B99:B104)</f>
        <v>1543880.4999999998</v>
      </c>
      <c r="C98" s="65"/>
      <c r="D98" s="55">
        <f>SUM(D99:D104)</f>
        <v>1396374.17</v>
      </c>
    </row>
    <row r="99" spans="1:4" x14ac:dyDescent="0.3">
      <c r="A99" s="3" t="s">
        <v>43</v>
      </c>
      <c r="B99" s="56">
        <v>881941.70999999985</v>
      </c>
      <c r="C99" s="67"/>
      <c r="D99" s="56">
        <v>807343.39</v>
      </c>
    </row>
    <row r="100" spans="1:4" x14ac:dyDescent="0.3">
      <c r="A100" s="3" t="s">
        <v>44</v>
      </c>
      <c r="B100" s="56">
        <v>0</v>
      </c>
      <c r="C100" s="67"/>
      <c r="D100" s="56">
        <v>0</v>
      </c>
    </row>
    <row r="101" spans="1:4" x14ac:dyDescent="0.3">
      <c r="A101" s="3" t="s">
        <v>45</v>
      </c>
      <c r="B101" s="56">
        <v>192506.12</v>
      </c>
      <c r="C101" s="66"/>
      <c r="D101" s="56">
        <v>75668.09</v>
      </c>
    </row>
    <row r="102" spans="1:4" x14ac:dyDescent="0.3">
      <c r="A102" s="3" t="s">
        <v>46</v>
      </c>
      <c r="B102" s="56">
        <v>235780.14</v>
      </c>
      <c r="C102" s="66"/>
      <c r="D102" s="56">
        <v>315438.55</v>
      </c>
    </row>
    <row r="103" spans="1:4" x14ac:dyDescent="0.3">
      <c r="A103" s="3" t="s">
        <v>47</v>
      </c>
      <c r="B103" s="56">
        <v>233652.53</v>
      </c>
      <c r="C103" s="66"/>
      <c r="D103" s="56">
        <v>197924.14</v>
      </c>
    </row>
    <row r="104" spans="1:4" x14ac:dyDescent="0.3">
      <c r="A104" s="3" t="s">
        <v>48</v>
      </c>
      <c r="B104" s="56">
        <v>0</v>
      </c>
      <c r="C104" s="66"/>
      <c r="D104" s="56">
        <v>0</v>
      </c>
    </row>
    <row r="105" spans="1:4" ht="15.75" customHeight="1" thickBot="1" x14ac:dyDescent="0.35">
      <c r="A105" s="6"/>
      <c r="B105" s="59"/>
      <c r="C105" s="69"/>
      <c r="D105" s="59"/>
    </row>
    <row r="106" spans="1:4" ht="15.75" thickBot="1" x14ac:dyDescent="0.35">
      <c r="A106" s="5" t="s">
        <v>49</v>
      </c>
      <c r="B106" s="60">
        <f>+B91+B81+B55</f>
        <v>6588506.6399999978</v>
      </c>
      <c r="C106" s="76"/>
      <c r="D106" s="60">
        <f>+D91+D81+D55</f>
        <v>7426278.1700000009</v>
      </c>
    </row>
    <row r="107" spans="1:4" ht="15.75" thickBot="1" x14ac:dyDescent="0.35"/>
    <row r="108" spans="1:4" x14ac:dyDescent="0.3">
      <c r="A108" s="48"/>
      <c r="B108" s="61" t="str">
        <f>B52</f>
        <v>30.06.2018</v>
      </c>
      <c r="C108" s="49"/>
      <c r="D108" s="61" t="str">
        <f>D52</f>
        <v>31.12.2017</v>
      </c>
    </row>
    <row r="109" spans="1:4" x14ac:dyDescent="0.3">
      <c r="A109" s="50" t="s">
        <v>102</v>
      </c>
      <c r="B109" s="62">
        <f>(B83+B93)/B55</f>
        <v>2.6417939390318876</v>
      </c>
      <c r="C109" s="51"/>
      <c r="D109" s="62">
        <f>(D83+D93)/D55</f>
        <v>1.9501319267841188</v>
      </c>
    </row>
    <row r="110" spans="1:4" x14ac:dyDescent="0.3">
      <c r="A110" s="50" t="s">
        <v>103</v>
      </c>
      <c r="B110" s="77">
        <f>+B83+B93-B46-B39</f>
        <v>3012483.26</v>
      </c>
      <c r="C110" s="51"/>
      <c r="D110" s="77">
        <f>+D83+D93-D46-D39</f>
        <v>2425391.4499999997</v>
      </c>
    </row>
    <row r="111" spans="1:4" ht="15.75" thickBot="1" x14ac:dyDescent="0.35">
      <c r="A111" s="52" t="s">
        <v>104</v>
      </c>
      <c r="B111" s="63">
        <f>B110/'PyG Comparado'!B20</f>
        <v>9.1360296411144457</v>
      </c>
      <c r="C111" s="53"/>
      <c r="D111" s="63">
        <v>9.36</v>
      </c>
    </row>
    <row r="113" spans="2:2" x14ac:dyDescent="0.3">
      <c r="B113" s="92"/>
    </row>
  </sheetData>
  <mergeCells count="7">
    <mergeCell ref="B2:B3"/>
    <mergeCell ref="C2:C3"/>
    <mergeCell ref="D2:D3"/>
    <mergeCell ref="C49:C50"/>
    <mergeCell ref="B52:B53"/>
    <mergeCell ref="C52:C53"/>
    <mergeCell ref="D52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workbookViewId="0"/>
  </sheetViews>
  <sheetFormatPr baseColWidth="10" defaultRowHeight="15" x14ac:dyDescent="0.3"/>
  <cols>
    <col min="1" max="1" width="58.42578125" customWidth="1"/>
    <col min="2" max="2" width="13.140625" bestFit="1" customWidth="1"/>
    <col min="3" max="3" width="3.5703125" customWidth="1"/>
    <col min="245" max="245" width="58.42578125" customWidth="1"/>
    <col min="248" max="248" width="3.140625" customWidth="1"/>
    <col min="251" max="251" width="12.42578125" customWidth="1"/>
    <col min="252" max="252" width="14.42578125" customWidth="1"/>
    <col min="501" max="501" width="58.42578125" customWidth="1"/>
    <col min="504" max="504" width="3.140625" customWidth="1"/>
    <col min="507" max="507" width="12.42578125" customWidth="1"/>
    <col min="508" max="508" width="14.42578125" customWidth="1"/>
    <col min="757" max="757" width="58.42578125" customWidth="1"/>
    <col min="760" max="760" width="3.140625" customWidth="1"/>
    <col min="763" max="763" width="12.42578125" customWidth="1"/>
    <col min="764" max="764" width="14.42578125" customWidth="1"/>
    <col min="1013" max="1013" width="58.42578125" customWidth="1"/>
    <col min="1016" max="1016" width="3.140625" customWidth="1"/>
    <col min="1019" max="1019" width="12.42578125" customWidth="1"/>
    <col min="1020" max="1020" width="14.42578125" customWidth="1"/>
    <col min="1269" max="1269" width="58.42578125" customWidth="1"/>
    <col min="1272" max="1272" width="3.140625" customWidth="1"/>
    <col min="1275" max="1275" width="12.42578125" customWidth="1"/>
    <col min="1276" max="1276" width="14.42578125" customWidth="1"/>
    <col min="1525" max="1525" width="58.42578125" customWidth="1"/>
    <col min="1528" max="1528" width="3.140625" customWidth="1"/>
    <col min="1531" max="1531" width="12.42578125" customWidth="1"/>
    <col min="1532" max="1532" width="14.42578125" customWidth="1"/>
    <col min="1781" max="1781" width="58.42578125" customWidth="1"/>
    <col min="1784" max="1784" width="3.140625" customWidth="1"/>
    <col min="1787" max="1787" width="12.42578125" customWidth="1"/>
    <col min="1788" max="1788" width="14.42578125" customWidth="1"/>
    <col min="2037" max="2037" width="58.42578125" customWidth="1"/>
    <col min="2040" max="2040" width="3.140625" customWidth="1"/>
    <col min="2043" max="2043" width="12.42578125" customWidth="1"/>
    <col min="2044" max="2044" width="14.42578125" customWidth="1"/>
    <col min="2293" max="2293" width="58.42578125" customWidth="1"/>
    <col min="2296" max="2296" width="3.140625" customWidth="1"/>
    <col min="2299" max="2299" width="12.42578125" customWidth="1"/>
    <col min="2300" max="2300" width="14.42578125" customWidth="1"/>
    <col min="2549" max="2549" width="58.42578125" customWidth="1"/>
    <col min="2552" max="2552" width="3.140625" customWidth="1"/>
    <col min="2555" max="2555" width="12.42578125" customWidth="1"/>
    <col min="2556" max="2556" width="14.42578125" customWidth="1"/>
    <col min="2805" max="2805" width="58.42578125" customWidth="1"/>
    <col min="2808" max="2808" width="3.140625" customWidth="1"/>
    <col min="2811" max="2811" width="12.42578125" customWidth="1"/>
    <col min="2812" max="2812" width="14.42578125" customWidth="1"/>
    <col min="3061" max="3061" width="58.42578125" customWidth="1"/>
    <col min="3064" max="3064" width="3.140625" customWidth="1"/>
    <col min="3067" max="3067" width="12.42578125" customWidth="1"/>
    <col min="3068" max="3068" width="14.42578125" customWidth="1"/>
    <col min="3317" max="3317" width="58.42578125" customWidth="1"/>
    <col min="3320" max="3320" width="3.140625" customWidth="1"/>
    <col min="3323" max="3323" width="12.42578125" customWidth="1"/>
    <col min="3324" max="3324" width="14.42578125" customWidth="1"/>
    <col min="3573" max="3573" width="58.42578125" customWidth="1"/>
    <col min="3576" max="3576" width="3.140625" customWidth="1"/>
    <col min="3579" max="3579" width="12.42578125" customWidth="1"/>
    <col min="3580" max="3580" width="14.42578125" customWidth="1"/>
    <col min="3829" max="3829" width="58.42578125" customWidth="1"/>
    <col min="3832" max="3832" width="3.140625" customWidth="1"/>
    <col min="3835" max="3835" width="12.42578125" customWidth="1"/>
    <col min="3836" max="3836" width="14.42578125" customWidth="1"/>
    <col min="4085" max="4085" width="58.42578125" customWidth="1"/>
    <col min="4088" max="4088" width="3.140625" customWidth="1"/>
    <col min="4091" max="4091" width="12.42578125" customWidth="1"/>
    <col min="4092" max="4092" width="14.42578125" customWidth="1"/>
    <col min="4341" max="4341" width="58.42578125" customWidth="1"/>
    <col min="4344" max="4344" width="3.140625" customWidth="1"/>
    <col min="4347" max="4347" width="12.42578125" customWidth="1"/>
    <col min="4348" max="4348" width="14.42578125" customWidth="1"/>
    <col min="4597" max="4597" width="58.42578125" customWidth="1"/>
    <col min="4600" max="4600" width="3.140625" customWidth="1"/>
    <col min="4603" max="4603" width="12.42578125" customWidth="1"/>
    <col min="4604" max="4604" width="14.42578125" customWidth="1"/>
    <col min="4853" max="4853" width="58.42578125" customWidth="1"/>
    <col min="4856" max="4856" width="3.140625" customWidth="1"/>
    <col min="4859" max="4859" width="12.42578125" customWidth="1"/>
    <col min="4860" max="4860" width="14.42578125" customWidth="1"/>
    <col min="5109" max="5109" width="58.42578125" customWidth="1"/>
    <col min="5112" max="5112" width="3.140625" customWidth="1"/>
    <col min="5115" max="5115" width="12.42578125" customWidth="1"/>
    <col min="5116" max="5116" width="14.42578125" customWidth="1"/>
    <col min="5365" max="5365" width="58.42578125" customWidth="1"/>
    <col min="5368" max="5368" width="3.140625" customWidth="1"/>
    <col min="5371" max="5371" width="12.42578125" customWidth="1"/>
    <col min="5372" max="5372" width="14.42578125" customWidth="1"/>
    <col min="5621" max="5621" width="58.42578125" customWidth="1"/>
    <col min="5624" max="5624" width="3.140625" customWidth="1"/>
    <col min="5627" max="5627" width="12.42578125" customWidth="1"/>
    <col min="5628" max="5628" width="14.42578125" customWidth="1"/>
    <col min="5877" max="5877" width="58.42578125" customWidth="1"/>
    <col min="5880" max="5880" width="3.140625" customWidth="1"/>
    <col min="5883" max="5883" width="12.42578125" customWidth="1"/>
    <col min="5884" max="5884" width="14.42578125" customWidth="1"/>
    <col min="6133" max="6133" width="58.42578125" customWidth="1"/>
    <col min="6136" max="6136" width="3.140625" customWidth="1"/>
    <col min="6139" max="6139" width="12.42578125" customWidth="1"/>
    <col min="6140" max="6140" width="14.42578125" customWidth="1"/>
    <col min="6389" max="6389" width="58.42578125" customWidth="1"/>
    <col min="6392" max="6392" width="3.140625" customWidth="1"/>
    <col min="6395" max="6395" width="12.42578125" customWidth="1"/>
    <col min="6396" max="6396" width="14.42578125" customWidth="1"/>
    <col min="6645" max="6645" width="58.42578125" customWidth="1"/>
    <col min="6648" max="6648" width="3.140625" customWidth="1"/>
    <col min="6651" max="6651" width="12.42578125" customWidth="1"/>
    <col min="6652" max="6652" width="14.42578125" customWidth="1"/>
    <col min="6901" max="6901" width="58.42578125" customWidth="1"/>
    <col min="6904" max="6904" width="3.140625" customWidth="1"/>
    <col min="6907" max="6907" width="12.42578125" customWidth="1"/>
    <col min="6908" max="6908" width="14.42578125" customWidth="1"/>
    <col min="7157" max="7157" width="58.42578125" customWidth="1"/>
    <col min="7160" max="7160" width="3.140625" customWidth="1"/>
    <col min="7163" max="7163" width="12.42578125" customWidth="1"/>
    <col min="7164" max="7164" width="14.42578125" customWidth="1"/>
    <col min="7413" max="7413" width="58.42578125" customWidth="1"/>
    <col min="7416" max="7416" width="3.140625" customWidth="1"/>
    <col min="7419" max="7419" width="12.42578125" customWidth="1"/>
    <col min="7420" max="7420" width="14.42578125" customWidth="1"/>
    <col min="7669" max="7669" width="58.42578125" customWidth="1"/>
    <col min="7672" max="7672" width="3.140625" customWidth="1"/>
    <col min="7675" max="7675" width="12.42578125" customWidth="1"/>
    <col min="7676" max="7676" width="14.42578125" customWidth="1"/>
    <col min="7925" max="7925" width="58.42578125" customWidth="1"/>
    <col min="7928" max="7928" width="3.140625" customWidth="1"/>
    <col min="7931" max="7931" width="12.42578125" customWidth="1"/>
    <col min="7932" max="7932" width="14.42578125" customWidth="1"/>
    <col min="8181" max="8181" width="58.42578125" customWidth="1"/>
    <col min="8184" max="8184" width="3.140625" customWidth="1"/>
    <col min="8187" max="8187" width="12.42578125" customWidth="1"/>
    <col min="8188" max="8188" width="14.42578125" customWidth="1"/>
    <col min="8437" max="8437" width="58.42578125" customWidth="1"/>
    <col min="8440" max="8440" width="3.140625" customWidth="1"/>
    <col min="8443" max="8443" width="12.42578125" customWidth="1"/>
    <col min="8444" max="8444" width="14.42578125" customWidth="1"/>
    <col min="8693" max="8693" width="58.42578125" customWidth="1"/>
    <col min="8696" max="8696" width="3.140625" customWidth="1"/>
    <col min="8699" max="8699" width="12.42578125" customWidth="1"/>
    <col min="8700" max="8700" width="14.42578125" customWidth="1"/>
    <col min="8949" max="8949" width="58.42578125" customWidth="1"/>
    <col min="8952" max="8952" width="3.140625" customWidth="1"/>
    <col min="8955" max="8955" width="12.42578125" customWidth="1"/>
    <col min="8956" max="8956" width="14.42578125" customWidth="1"/>
    <col min="9205" max="9205" width="58.42578125" customWidth="1"/>
    <col min="9208" max="9208" width="3.140625" customWidth="1"/>
    <col min="9211" max="9211" width="12.42578125" customWidth="1"/>
    <col min="9212" max="9212" width="14.42578125" customWidth="1"/>
    <col min="9461" max="9461" width="58.42578125" customWidth="1"/>
    <col min="9464" max="9464" width="3.140625" customWidth="1"/>
    <col min="9467" max="9467" width="12.42578125" customWidth="1"/>
    <col min="9468" max="9468" width="14.42578125" customWidth="1"/>
    <col min="9717" max="9717" width="58.42578125" customWidth="1"/>
    <col min="9720" max="9720" width="3.140625" customWidth="1"/>
    <col min="9723" max="9723" width="12.42578125" customWidth="1"/>
    <col min="9724" max="9724" width="14.42578125" customWidth="1"/>
    <col min="9973" max="9973" width="58.42578125" customWidth="1"/>
    <col min="9976" max="9976" width="3.140625" customWidth="1"/>
    <col min="9979" max="9979" width="12.42578125" customWidth="1"/>
    <col min="9980" max="9980" width="14.42578125" customWidth="1"/>
    <col min="10229" max="10229" width="58.42578125" customWidth="1"/>
    <col min="10232" max="10232" width="3.140625" customWidth="1"/>
    <col min="10235" max="10235" width="12.42578125" customWidth="1"/>
    <col min="10236" max="10236" width="14.42578125" customWidth="1"/>
    <col min="10485" max="10485" width="58.42578125" customWidth="1"/>
    <col min="10488" max="10488" width="3.140625" customWidth="1"/>
    <col min="10491" max="10491" width="12.42578125" customWidth="1"/>
    <col min="10492" max="10492" width="14.42578125" customWidth="1"/>
    <col min="10741" max="10741" width="58.42578125" customWidth="1"/>
    <col min="10744" max="10744" width="3.140625" customWidth="1"/>
    <col min="10747" max="10747" width="12.42578125" customWidth="1"/>
    <col min="10748" max="10748" width="14.42578125" customWidth="1"/>
    <col min="10997" max="10997" width="58.42578125" customWidth="1"/>
    <col min="11000" max="11000" width="3.140625" customWidth="1"/>
    <col min="11003" max="11003" width="12.42578125" customWidth="1"/>
    <col min="11004" max="11004" width="14.42578125" customWidth="1"/>
    <col min="11253" max="11253" width="58.42578125" customWidth="1"/>
    <col min="11256" max="11256" width="3.140625" customWidth="1"/>
    <col min="11259" max="11259" width="12.42578125" customWidth="1"/>
    <col min="11260" max="11260" width="14.42578125" customWidth="1"/>
    <col min="11509" max="11509" width="58.42578125" customWidth="1"/>
    <col min="11512" max="11512" width="3.140625" customWidth="1"/>
    <col min="11515" max="11515" width="12.42578125" customWidth="1"/>
    <col min="11516" max="11516" width="14.42578125" customWidth="1"/>
    <col min="11765" max="11765" width="58.42578125" customWidth="1"/>
    <col min="11768" max="11768" width="3.140625" customWidth="1"/>
    <col min="11771" max="11771" width="12.42578125" customWidth="1"/>
    <col min="11772" max="11772" width="14.42578125" customWidth="1"/>
    <col min="12021" max="12021" width="58.42578125" customWidth="1"/>
    <col min="12024" max="12024" width="3.140625" customWidth="1"/>
    <col min="12027" max="12027" width="12.42578125" customWidth="1"/>
    <col min="12028" max="12028" width="14.42578125" customWidth="1"/>
    <col min="12277" max="12277" width="58.42578125" customWidth="1"/>
    <col min="12280" max="12280" width="3.140625" customWidth="1"/>
    <col min="12283" max="12283" width="12.42578125" customWidth="1"/>
    <col min="12284" max="12284" width="14.42578125" customWidth="1"/>
    <col min="12533" max="12533" width="58.42578125" customWidth="1"/>
    <col min="12536" max="12536" width="3.140625" customWidth="1"/>
    <col min="12539" max="12539" width="12.42578125" customWidth="1"/>
    <col min="12540" max="12540" width="14.42578125" customWidth="1"/>
    <col min="12789" max="12789" width="58.42578125" customWidth="1"/>
    <col min="12792" max="12792" width="3.140625" customWidth="1"/>
    <col min="12795" max="12795" width="12.42578125" customWidth="1"/>
    <col min="12796" max="12796" width="14.42578125" customWidth="1"/>
    <col min="13045" max="13045" width="58.42578125" customWidth="1"/>
    <col min="13048" max="13048" width="3.140625" customWidth="1"/>
    <col min="13051" max="13051" width="12.42578125" customWidth="1"/>
    <col min="13052" max="13052" width="14.42578125" customWidth="1"/>
    <col min="13301" max="13301" width="58.42578125" customWidth="1"/>
    <col min="13304" max="13304" width="3.140625" customWidth="1"/>
    <col min="13307" max="13307" width="12.42578125" customWidth="1"/>
    <col min="13308" max="13308" width="14.42578125" customWidth="1"/>
    <col min="13557" max="13557" width="58.42578125" customWidth="1"/>
    <col min="13560" max="13560" width="3.140625" customWidth="1"/>
    <col min="13563" max="13563" width="12.42578125" customWidth="1"/>
    <col min="13564" max="13564" width="14.42578125" customWidth="1"/>
    <col min="13813" max="13813" width="58.42578125" customWidth="1"/>
    <col min="13816" max="13816" width="3.140625" customWidth="1"/>
    <col min="13819" max="13819" width="12.42578125" customWidth="1"/>
    <col min="13820" max="13820" width="14.42578125" customWidth="1"/>
    <col min="14069" max="14069" width="58.42578125" customWidth="1"/>
    <col min="14072" max="14072" width="3.140625" customWidth="1"/>
    <col min="14075" max="14075" width="12.42578125" customWidth="1"/>
    <col min="14076" max="14076" width="14.42578125" customWidth="1"/>
    <col min="14325" max="14325" width="58.42578125" customWidth="1"/>
    <col min="14328" max="14328" width="3.140625" customWidth="1"/>
    <col min="14331" max="14331" width="12.42578125" customWidth="1"/>
    <col min="14332" max="14332" width="14.42578125" customWidth="1"/>
    <col min="14581" max="14581" width="58.42578125" customWidth="1"/>
    <col min="14584" max="14584" width="3.140625" customWidth="1"/>
    <col min="14587" max="14587" width="12.42578125" customWidth="1"/>
    <col min="14588" max="14588" width="14.42578125" customWidth="1"/>
    <col min="14837" max="14837" width="58.42578125" customWidth="1"/>
    <col min="14840" max="14840" width="3.140625" customWidth="1"/>
    <col min="14843" max="14843" width="12.42578125" customWidth="1"/>
    <col min="14844" max="14844" width="14.42578125" customWidth="1"/>
    <col min="15093" max="15093" width="58.42578125" customWidth="1"/>
    <col min="15096" max="15096" width="3.140625" customWidth="1"/>
    <col min="15099" max="15099" width="12.42578125" customWidth="1"/>
    <col min="15100" max="15100" width="14.42578125" customWidth="1"/>
    <col min="15349" max="15349" width="58.42578125" customWidth="1"/>
    <col min="15352" max="15352" width="3.140625" customWidth="1"/>
    <col min="15355" max="15355" width="12.42578125" customWidth="1"/>
    <col min="15356" max="15356" width="14.42578125" customWidth="1"/>
    <col min="15605" max="15605" width="58.42578125" customWidth="1"/>
    <col min="15608" max="15608" width="3.140625" customWidth="1"/>
    <col min="15611" max="15611" width="12.42578125" customWidth="1"/>
    <col min="15612" max="15612" width="14.42578125" customWidth="1"/>
    <col min="15861" max="15861" width="58.42578125" customWidth="1"/>
    <col min="15864" max="15864" width="3.140625" customWidth="1"/>
    <col min="15867" max="15867" width="12.42578125" customWidth="1"/>
    <col min="15868" max="15868" width="14.42578125" customWidth="1"/>
    <col min="16117" max="16117" width="58.42578125" customWidth="1"/>
    <col min="16120" max="16120" width="3.140625" customWidth="1"/>
    <col min="16123" max="16123" width="12.42578125" customWidth="1"/>
    <col min="16124" max="16124" width="14.42578125" customWidth="1"/>
  </cols>
  <sheetData>
    <row r="1" spans="1:4" x14ac:dyDescent="0.3">
      <c r="A1" s="20"/>
      <c r="B1" s="14"/>
    </row>
    <row r="2" spans="1:4" ht="8.25" customHeight="1" thickBot="1" x14ac:dyDescent="0.35">
      <c r="A2" s="9"/>
      <c r="B2" s="9"/>
      <c r="C2" s="9"/>
      <c r="D2" s="9"/>
    </row>
    <row r="3" spans="1:4" ht="14.25" customHeight="1" x14ac:dyDescent="0.3">
      <c r="A3" s="7" t="s">
        <v>117</v>
      </c>
      <c r="B3" s="7"/>
      <c r="C3" s="84"/>
      <c r="D3" s="7"/>
    </row>
    <row r="4" spans="1:4" ht="24.75" customHeight="1" thickBot="1" x14ac:dyDescent="0.35">
      <c r="A4" s="8" t="s">
        <v>114</v>
      </c>
      <c r="B4" s="78" t="s">
        <v>111</v>
      </c>
      <c r="C4" s="85"/>
      <c r="D4" s="78" t="s">
        <v>113</v>
      </c>
    </row>
    <row r="5" spans="1:4" ht="14.25" customHeight="1" x14ac:dyDescent="0.3">
      <c r="A5" s="15"/>
      <c r="B5" s="9"/>
      <c r="C5" s="15"/>
      <c r="D5" s="9"/>
    </row>
    <row r="6" spans="1:4" x14ac:dyDescent="0.3">
      <c r="A6" s="4" t="s">
        <v>50</v>
      </c>
      <c r="B6" s="55">
        <v>5248050.42</v>
      </c>
      <c r="C6" s="19"/>
      <c r="D6" s="55">
        <v>4826004.09</v>
      </c>
    </row>
    <row r="7" spans="1:4" ht="14.25" hidden="1" customHeight="1" x14ac:dyDescent="0.3">
      <c r="A7" s="16"/>
      <c r="B7" s="79"/>
      <c r="C7" s="16"/>
      <c r="D7" s="79"/>
    </row>
    <row r="8" spans="1:4" x14ac:dyDescent="0.3">
      <c r="A8" s="4" t="s">
        <v>51</v>
      </c>
      <c r="B8" s="55">
        <v>-87904.93</v>
      </c>
      <c r="C8" s="19"/>
      <c r="D8" s="55">
        <v>64033.88</v>
      </c>
    </row>
    <row r="9" spans="1:4" ht="14.25" hidden="1" customHeight="1" x14ac:dyDescent="0.3">
      <c r="A9" s="15"/>
      <c r="B9" s="79"/>
      <c r="C9" s="15"/>
      <c r="D9" s="79"/>
    </row>
    <row r="10" spans="1:4" x14ac:dyDescent="0.3">
      <c r="A10" s="4" t="s">
        <v>52</v>
      </c>
      <c r="B10" s="55">
        <v>311172.96999999997</v>
      </c>
      <c r="C10" s="19"/>
      <c r="D10" s="55">
        <v>315817.23</v>
      </c>
    </row>
    <row r="11" spans="1:4" ht="14.25" hidden="1" customHeight="1" x14ac:dyDescent="0.3">
      <c r="A11" s="15"/>
      <c r="B11" s="79"/>
      <c r="C11" s="15"/>
      <c r="D11" s="79"/>
    </row>
    <row r="12" spans="1:4" x14ac:dyDescent="0.3">
      <c r="A12" s="4" t="s">
        <v>53</v>
      </c>
      <c r="B12" s="55">
        <v>-2381453.37</v>
      </c>
      <c r="C12" s="18"/>
      <c r="D12" s="55">
        <v>-2194233.6</v>
      </c>
    </row>
    <row r="13" spans="1:4" ht="14.25" hidden="1" customHeight="1" x14ac:dyDescent="0.3">
      <c r="A13" s="15"/>
      <c r="B13" s="79"/>
      <c r="C13" s="15"/>
      <c r="D13" s="79"/>
    </row>
    <row r="14" spans="1:4" x14ac:dyDescent="0.3">
      <c r="A14" s="4" t="s">
        <v>54</v>
      </c>
      <c r="B14" s="81">
        <v>-1644889.0100000002</v>
      </c>
      <c r="C14" s="18"/>
      <c r="D14" s="55">
        <v>-1850983.85</v>
      </c>
    </row>
    <row r="15" spans="1:4" ht="14.25" hidden="1" customHeight="1" x14ac:dyDescent="0.3">
      <c r="A15" s="15"/>
      <c r="B15" s="79"/>
      <c r="C15" s="15"/>
      <c r="D15" s="79"/>
    </row>
    <row r="16" spans="1:4" x14ac:dyDescent="0.3">
      <c r="A16" s="4" t="s">
        <v>55</v>
      </c>
      <c r="B16" s="55">
        <v>-1115239.4900000002</v>
      </c>
      <c r="C16" s="19"/>
      <c r="D16" s="55">
        <v>-1091482.44</v>
      </c>
    </row>
    <row r="17" spans="1:4" ht="14.25" hidden="1" customHeight="1" x14ac:dyDescent="0.3">
      <c r="A17" s="15"/>
      <c r="B17" s="79"/>
      <c r="C17" s="15"/>
      <c r="D17" s="79"/>
    </row>
    <row r="18" spans="1:4" x14ac:dyDescent="0.3">
      <c r="A18" s="4" t="s">
        <v>56</v>
      </c>
      <c r="B18" s="55">
        <v>-884968.68</v>
      </c>
      <c r="C18" s="18"/>
      <c r="D18" s="55">
        <v>-808640.16</v>
      </c>
    </row>
    <row r="19" spans="1:4" ht="14.25" hidden="1" customHeight="1" x14ac:dyDescent="0.3">
      <c r="A19" s="16"/>
      <c r="B19" s="79"/>
      <c r="C19" s="16"/>
      <c r="D19" s="79"/>
    </row>
    <row r="20" spans="1:4" x14ac:dyDescent="0.3">
      <c r="A20" s="4" t="s">
        <v>57</v>
      </c>
      <c r="B20" s="55">
        <v>23598</v>
      </c>
      <c r="C20" s="18"/>
      <c r="D20" s="55">
        <v>33774</v>
      </c>
    </row>
    <row r="21" spans="1:4" ht="14.25" hidden="1" customHeight="1" x14ac:dyDescent="0.3">
      <c r="A21" s="16"/>
      <c r="B21" s="79"/>
      <c r="C21" s="16"/>
      <c r="D21" s="79"/>
    </row>
    <row r="22" spans="1:4" x14ac:dyDescent="0.3">
      <c r="A22" s="4" t="s">
        <v>58</v>
      </c>
      <c r="B22" s="55">
        <v>0</v>
      </c>
      <c r="C22" s="18"/>
      <c r="D22" s="55">
        <v>0</v>
      </c>
    </row>
    <row r="23" spans="1:4" ht="14.25" hidden="1" customHeight="1" x14ac:dyDescent="0.3">
      <c r="A23" s="15"/>
      <c r="B23" s="79"/>
      <c r="C23" s="15"/>
      <c r="D23" s="79"/>
    </row>
    <row r="24" spans="1:4" x14ac:dyDescent="0.3">
      <c r="A24" s="4" t="s">
        <v>76</v>
      </c>
      <c r="B24" s="55">
        <v>0</v>
      </c>
      <c r="C24" s="19"/>
      <c r="D24" s="55">
        <v>-15.51</v>
      </c>
    </row>
    <row r="25" spans="1:4" ht="14.25" hidden="1" customHeight="1" x14ac:dyDescent="0.3">
      <c r="A25" s="15"/>
      <c r="B25" s="79"/>
      <c r="C25" s="15"/>
      <c r="D25" s="79"/>
    </row>
    <row r="26" spans="1:4" x14ac:dyDescent="0.3">
      <c r="A26" s="12" t="s">
        <v>59</v>
      </c>
      <c r="B26" s="58">
        <f>+B6+B8+B10+B12+B14+B16+B18+B20+B22+B24</f>
        <v>-531634.09000000067</v>
      </c>
      <c r="C26" s="17"/>
      <c r="D26" s="58">
        <v>-705726.36000000092</v>
      </c>
    </row>
    <row r="27" spans="1:4" ht="14.25" hidden="1" customHeight="1" x14ac:dyDescent="0.3">
      <c r="A27" s="15"/>
      <c r="B27" s="79"/>
      <c r="C27" s="15"/>
      <c r="D27" s="79"/>
    </row>
    <row r="28" spans="1:4" x14ac:dyDescent="0.3">
      <c r="A28" s="4" t="s">
        <v>60</v>
      </c>
      <c r="B28" s="55">
        <v>359.44</v>
      </c>
      <c r="C28" s="19"/>
      <c r="D28" s="55">
        <v>2817.69</v>
      </c>
    </row>
    <row r="29" spans="1:4" ht="14.25" hidden="1" customHeight="1" x14ac:dyDescent="0.3">
      <c r="A29" s="15"/>
      <c r="B29" s="79"/>
      <c r="C29" s="15"/>
      <c r="D29" s="79"/>
    </row>
    <row r="30" spans="1:4" x14ac:dyDescent="0.3">
      <c r="A30" s="4" t="s">
        <v>61</v>
      </c>
      <c r="B30" s="55">
        <v>-37442.449999999997</v>
      </c>
      <c r="C30" s="19"/>
      <c r="D30" s="55">
        <v>-38705.550000000003</v>
      </c>
    </row>
    <row r="31" spans="1:4" ht="14.25" hidden="1" customHeight="1" x14ac:dyDescent="0.3">
      <c r="A31" s="15"/>
      <c r="B31" s="79"/>
      <c r="C31" s="15"/>
      <c r="D31" s="79"/>
    </row>
    <row r="32" spans="1:4" x14ac:dyDescent="0.3">
      <c r="A32" s="4" t="s">
        <v>62</v>
      </c>
      <c r="B32" s="55">
        <v>2072.7800000000002</v>
      </c>
      <c r="C32" s="19"/>
      <c r="D32" s="55">
        <v>-32779.08</v>
      </c>
    </row>
    <row r="33" spans="1:4" ht="14.25" hidden="1" customHeight="1" x14ac:dyDescent="0.3">
      <c r="A33" s="16"/>
      <c r="B33" s="79"/>
      <c r="C33" s="16"/>
      <c r="D33" s="79"/>
    </row>
    <row r="34" spans="1:4" x14ac:dyDescent="0.3">
      <c r="A34" s="4" t="s">
        <v>63</v>
      </c>
      <c r="B34" s="55">
        <v>-304.57</v>
      </c>
      <c r="C34" s="19"/>
      <c r="D34" s="55">
        <v>0</v>
      </c>
    </row>
    <row r="35" spans="1:4" ht="14.25" hidden="1" customHeight="1" x14ac:dyDescent="0.3">
      <c r="A35" s="15"/>
      <c r="B35" s="79"/>
      <c r="C35" s="15"/>
      <c r="D35" s="79"/>
    </row>
    <row r="36" spans="1:4" x14ac:dyDescent="0.3">
      <c r="A36" s="12" t="s">
        <v>64</v>
      </c>
      <c r="B36" s="58">
        <f>+B28+B30+B32+B34</f>
        <v>-35314.799999999996</v>
      </c>
      <c r="C36" s="17"/>
      <c r="D36" s="58">
        <v>-68666.94</v>
      </c>
    </row>
    <row r="37" spans="1:4" ht="24" x14ac:dyDescent="0.3">
      <c r="A37" s="4" t="s">
        <v>85</v>
      </c>
      <c r="B37" s="55">
        <v>0</v>
      </c>
      <c r="C37" s="19"/>
      <c r="D37" s="55">
        <v>0</v>
      </c>
    </row>
    <row r="38" spans="1:4" x14ac:dyDescent="0.3">
      <c r="A38" s="12" t="s">
        <v>65</v>
      </c>
      <c r="B38" s="58">
        <f>+B26+B36</f>
        <v>-566948.89000000071</v>
      </c>
      <c r="C38" s="17"/>
      <c r="D38" s="58">
        <v>-774393.30000000098</v>
      </c>
    </row>
    <row r="39" spans="1:4" ht="14.25" hidden="1" customHeight="1" x14ac:dyDescent="0.3">
      <c r="A39" s="15"/>
      <c r="B39" s="79"/>
      <c r="C39" s="15"/>
      <c r="D39" s="79"/>
    </row>
    <row r="40" spans="1:4" ht="15.75" thickBot="1" x14ac:dyDescent="0.35">
      <c r="A40" s="4" t="s">
        <v>70</v>
      </c>
      <c r="B40" s="55">
        <v>0</v>
      </c>
      <c r="C40" s="18"/>
      <c r="D40" s="55">
        <v>0</v>
      </c>
    </row>
    <row r="41" spans="1:4" ht="15.75" hidden="1" thickBot="1" x14ac:dyDescent="0.35">
      <c r="A41" s="15"/>
      <c r="B41" s="79"/>
      <c r="C41" s="15"/>
      <c r="D41" s="79"/>
    </row>
    <row r="42" spans="1:4" ht="9.75" customHeight="1" x14ac:dyDescent="0.3">
      <c r="A42" s="11"/>
      <c r="B42" s="80"/>
      <c r="C42" s="88"/>
      <c r="D42" s="80"/>
    </row>
    <row r="43" spans="1:4" ht="15.75" thickBot="1" x14ac:dyDescent="0.35">
      <c r="A43" s="5" t="s">
        <v>66</v>
      </c>
      <c r="B43" s="60">
        <f>+B38+B40</f>
        <v>-566948.89000000071</v>
      </c>
      <c r="C43" s="89"/>
      <c r="D43" s="60">
        <v>-774393.30000000098</v>
      </c>
    </row>
  </sheetData>
  <mergeCells count="2">
    <mergeCell ref="C3:C4"/>
    <mergeCell ref="C42:C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9"/>
  <sheetViews>
    <sheetView tabSelected="1" workbookViewId="0"/>
  </sheetViews>
  <sheetFormatPr baseColWidth="10" defaultRowHeight="15" x14ac:dyDescent="0.25"/>
  <cols>
    <col min="1" max="1" width="56" style="21" customWidth="1"/>
    <col min="2" max="3" width="12.42578125" style="21" customWidth="1"/>
    <col min="4" max="4" width="9.42578125" style="21" customWidth="1"/>
    <col min="5" max="5" width="11" style="21" customWidth="1"/>
    <col min="6" max="16384" width="11.42578125" style="21"/>
  </cols>
  <sheetData>
    <row r="2" spans="1:7" ht="15.75" thickBot="1" x14ac:dyDescent="0.3">
      <c r="A2" s="37"/>
    </row>
    <row r="3" spans="1:7" x14ac:dyDescent="0.25">
      <c r="A3" s="7" t="s">
        <v>118</v>
      </c>
      <c r="B3" s="90" t="str">
        <f>'PyG Consolidado'!B4</f>
        <v>30.06.2018</v>
      </c>
      <c r="C3" s="90" t="str">
        <f>'PyG Consolidado'!D4</f>
        <v>30.06.2017</v>
      </c>
      <c r="D3" s="90" t="s">
        <v>98</v>
      </c>
    </row>
    <row r="4" spans="1:7" ht="15.75" thickBot="1" x14ac:dyDescent="0.3">
      <c r="A4" s="8" t="s">
        <v>114</v>
      </c>
      <c r="B4" s="91"/>
      <c r="C4" s="91"/>
      <c r="D4" s="91"/>
    </row>
    <row r="5" spans="1:7" x14ac:dyDescent="0.25">
      <c r="A5" s="36"/>
      <c r="B5" s="35"/>
      <c r="C5" s="35"/>
      <c r="D5" s="35"/>
    </row>
    <row r="6" spans="1:7" x14ac:dyDescent="0.25">
      <c r="A6" s="31" t="s">
        <v>97</v>
      </c>
      <c r="B6" s="39">
        <f>'PyG Consolidado'!B6</f>
        <v>5248050.42</v>
      </c>
      <c r="C6" s="39">
        <v>4826004.09</v>
      </c>
      <c r="D6" s="29">
        <f>+(B6-C6)/C6</f>
        <v>8.7452542958785615E-2</v>
      </c>
    </row>
    <row r="7" spans="1:7" x14ac:dyDescent="0.25">
      <c r="A7" s="38" t="s">
        <v>96</v>
      </c>
      <c r="B7" s="24">
        <f>+(B6-C6)/C6</f>
        <v>8.7452542958785615E-2</v>
      </c>
      <c r="C7" s="24"/>
      <c r="D7" s="33"/>
    </row>
    <row r="8" spans="1:7" x14ac:dyDescent="0.25">
      <c r="A8" s="31" t="s">
        <v>95</v>
      </c>
      <c r="B8" s="39">
        <f>'PyG Consolidado'!B8</f>
        <v>-87904.93</v>
      </c>
      <c r="C8" s="39">
        <v>64033.88</v>
      </c>
      <c r="D8" s="29">
        <f>+(B8-C8)/C8</f>
        <v>-2.3727878117021803</v>
      </c>
      <c r="E8" s="45"/>
    </row>
    <row r="9" spans="1:7" x14ac:dyDescent="0.25">
      <c r="A9" s="38" t="s">
        <v>86</v>
      </c>
      <c r="B9" s="24">
        <f>B8/B6</f>
        <v>-1.6750016285095065E-2</v>
      </c>
      <c r="C9" s="24">
        <f>C8/C6</f>
        <v>1.3268509268917756E-2</v>
      </c>
      <c r="D9" s="34"/>
    </row>
    <row r="10" spans="1:7" x14ac:dyDescent="0.25">
      <c r="A10" s="31" t="s">
        <v>52</v>
      </c>
      <c r="B10" s="39">
        <f>'PyG Consolidado'!B10</f>
        <v>311172.96999999997</v>
      </c>
      <c r="C10" s="39">
        <v>315817.23</v>
      </c>
      <c r="D10" s="29">
        <f>+(B10-C10)/C10</f>
        <v>-1.4705530790704515E-2</v>
      </c>
      <c r="E10" s="45"/>
      <c r="F10" s="44"/>
    </row>
    <row r="11" spans="1:7" x14ac:dyDescent="0.25">
      <c r="A11" s="38" t="s">
        <v>86</v>
      </c>
      <c r="B11" s="24">
        <f>B10/B6</f>
        <v>5.9293060297999189E-2</v>
      </c>
      <c r="C11" s="24">
        <f>C10/C6</f>
        <v>6.5440729868921438E-2</v>
      </c>
      <c r="D11" s="33"/>
    </row>
    <row r="12" spans="1:7" x14ac:dyDescent="0.25">
      <c r="A12" s="31" t="s">
        <v>53</v>
      </c>
      <c r="B12" s="39">
        <f>'PyG Consolidado'!B12</f>
        <v>-2381453.37</v>
      </c>
      <c r="C12" s="39">
        <v>-2194233.6</v>
      </c>
      <c r="D12" s="29">
        <f>+(B12-C12)/C12</f>
        <v>8.5323536199609751E-2</v>
      </c>
      <c r="E12" s="45"/>
    </row>
    <row r="13" spans="1:7" x14ac:dyDescent="0.25">
      <c r="A13" s="38" t="s">
        <v>86</v>
      </c>
      <c r="B13" s="24">
        <f>-B12/B6</f>
        <v>0.45377867577728037</v>
      </c>
      <c r="C13" s="24">
        <f>-C12/C6</f>
        <v>0.45466882312567625</v>
      </c>
      <c r="D13" s="33"/>
    </row>
    <row r="14" spans="1:7" x14ac:dyDescent="0.25">
      <c r="A14" s="46" t="s">
        <v>94</v>
      </c>
      <c r="B14" s="47">
        <f>+B6+B12+B8+B10</f>
        <v>3089865.09</v>
      </c>
      <c r="C14" s="47">
        <f>+C6+C12+C8+C10</f>
        <v>3011621.5999999996</v>
      </c>
      <c r="D14" s="26">
        <f>+(B14-C14)/C14</f>
        <v>2.5980518269625982E-2</v>
      </c>
    </row>
    <row r="15" spans="1:7" x14ac:dyDescent="0.25">
      <c r="A15" s="38" t="s">
        <v>86</v>
      </c>
      <c r="B15" s="24">
        <f>B14/B6</f>
        <v>0.58876436823562373</v>
      </c>
      <c r="C15" s="24">
        <f>C14/C6</f>
        <v>0.62404041601216287</v>
      </c>
      <c r="D15" s="33"/>
      <c r="G15" s="32"/>
    </row>
    <row r="16" spans="1:7" x14ac:dyDescent="0.25">
      <c r="A16" s="31" t="s">
        <v>54</v>
      </c>
      <c r="B16" s="39">
        <v>-1644889.01</v>
      </c>
      <c r="C16" s="39">
        <v>-1850983.85</v>
      </c>
      <c r="D16" s="29">
        <f>+(B16-C16)/C16</f>
        <v>-0.1113434025910059</v>
      </c>
      <c r="F16" s="32"/>
    </row>
    <row r="17" spans="1:8" x14ac:dyDescent="0.25">
      <c r="A17" s="38" t="s">
        <v>86</v>
      </c>
      <c r="B17" s="24">
        <f>-B16/B6</f>
        <v>0.31342858363773113</v>
      </c>
      <c r="C17" s="24">
        <f>-C16/C6</f>
        <v>0.38354377979816429</v>
      </c>
      <c r="D17" s="33"/>
    </row>
    <row r="18" spans="1:8" x14ac:dyDescent="0.25">
      <c r="A18" s="31" t="s">
        <v>55</v>
      </c>
      <c r="B18" s="39">
        <v>-1115239.49</v>
      </c>
      <c r="C18" s="39">
        <v>-1091482.44</v>
      </c>
      <c r="D18" s="29">
        <f>+(B18-C18)/C18</f>
        <v>2.1765856352210344E-2</v>
      </c>
      <c r="E18" s="45"/>
      <c r="F18" s="32"/>
      <c r="H18" s="32"/>
    </row>
    <row r="19" spans="1:8" x14ac:dyDescent="0.25">
      <c r="A19" s="38" t="s">
        <v>86</v>
      </c>
      <c r="B19" s="24">
        <f>-B18/B6</f>
        <v>0.21250548313139112</v>
      </c>
      <c r="C19" s="24">
        <f>-C18/C6</f>
        <v>0.22616691151623122</v>
      </c>
      <c r="D19" s="33"/>
    </row>
    <row r="20" spans="1:8" x14ac:dyDescent="0.25">
      <c r="A20" s="46" t="s">
        <v>93</v>
      </c>
      <c r="B20" s="47">
        <f>+B14++B16+B18</f>
        <v>329736.58999999985</v>
      </c>
      <c r="C20" s="47">
        <f>+C14++C16+C18</f>
        <v>69155.30999999959</v>
      </c>
      <c r="D20" s="26">
        <f>+(B20-C20)/C20</f>
        <v>3.7680588808003579</v>
      </c>
    </row>
    <row r="21" spans="1:8" x14ac:dyDescent="0.25">
      <c r="A21" s="38" t="s">
        <v>86</v>
      </c>
      <c r="B21" s="24">
        <f>B20/B6</f>
        <v>6.2830301466501509E-2</v>
      </c>
      <c r="C21" s="24">
        <f>C20/C6</f>
        <v>1.4329724697767422E-2</v>
      </c>
      <c r="D21" s="33"/>
      <c r="G21" s="32"/>
    </row>
    <row r="22" spans="1:8" x14ac:dyDescent="0.25">
      <c r="A22" s="31" t="s">
        <v>56</v>
      </c>
      <c r="B22" s="39">
        <f>'PyG Consolidado'!B18</f>
        <v>-884968.68</v>
      </c>
      <c r="C22" s="39">
        <v>-808640.16</v>
      </c>
      <c r="D22" s="29">
        <f>+(B22-C22)/C22</f>
        <v>9.4391206095922831E-2</v>
      </c>
    </row>
    <row r="23" spans="1:8" x14ac:dyDescent="0.25">
      <c r="A23" s="31" t="s">
        <v>92</v>
      </c>
      <c r="B23" s="39">
        <f>'PyG Consolidado'!B20</f>
        <v>23598</v>
      </c>
      <c r="C23" s="39">
        <v>33774</v>
      </c>
      <c r="D23" s="29"/>
    </row>
    <row r="24" spans="1:8" x14ac:dyDescent="0.25">
      <c r="A24" s="31" t="s">
        <v>91</v>
      </c>
      <c r="B24" s="39">
        <f>+B20+B22+B23</f>
        <v>-531634.0900000002</v>
      </c>
      <c r="C24" s="39">
        <f>+C20+C22+C23</f>
        <v>-705710.85000000044</v>
      </c>
      <c r="D24" s="29">
        <f>-(B24-C24)/C24</f>
        <v>0.24666867457117903</v>
      </c>
    </row>
    <row r="25" spans="1:8" x14ac:dyDescent="0.25">
      <c r="A25" s="38" t="s">
        <v>86</v>
      </c>
      <c r="B25" s="24">
        <f>B24/B6</f>
        <v>-0.10130125426653203</v>
      </c>
      <c r="C25" s="24">
        <f>C24/C6</f>
        <v>-0.1462308851876668</v>
      </c>
      <c r="D25" s="33"/>
      <c r="G25" s="32"/>
    </row>
    <row r="26" spans="1:8" x14ac:dyDescent="0.25">
      <c r="A26" s="31" t="s">
        <v>90</v>
      </c>
      <c r="B26" s="39">
        <v>-35314.799999999996</v>
      </c>
      <c r="C26" s="39">
        <v>-68666.94</v>
      </c>
      <c r="D26" s="29">
        <f>+(B26-C26)/C26</f>
        <v>-0.48570884329489572</v>
      </c>
    </row>
    <row r="27" spans="1:8" x14ac:dyDescent="0.25">
      <c r="A27" s="31" t="s">
        <v>89</v>
      </c>
      <c r="B27" s="39">
        <f>'PyG Consolidado'!B37</f>
        <v>0</v>
      </c>
      <c r="C27" s="39">
        <v>0</v>
      </c>
      <c r="D27" s="29"/>
    </row>
    <row r="28" spans="1:8" x14ac:dyDescent="0.25">
      <c r="A28" s="31" t="s">
        <v>88</v>
      </c>
      <c r="B28" s="30">
        <f>+B24+B26+B27</f>
        <v>-566948.89000000025</v>
      </c>
      <c r="C28" s="30">
        <f>+C24+C26+C27</f>
        <v>-774377.7900000005</v>
      </c>
      <c r="D28" s="29">
        <f>-(B28-C28)/C28</f>
        <v>0.26786524959606617</v>
      </c>
    </row>
    <row r="29" spans="1:8" x14ac:dyDescent="0.25">
      <c r="A29" s="31" t="s">
        <v>70</v>
      </c>
      <c r="B29" s="30">
        <v>0</v>
      </c>
      <c r="C29" s="30">
        <v>0</v>
      </c>
      <c r="D29" s="29"/>
    </row>
    <row r="30" spans="1:8" s="25" customFormat="1" ht="12.75" x14ac:dyDescent="0.2">
      <c r="A30" s="28" t="s">
        <v>87</v>
      </c>
      <c r="B30" s="27">
        <f>'PyG Consolidado'!B43</f>
        <v>-566948.89000000071</v>
      </c>
      <c r="C30" s="27">
        <f>+C28+C29</f>
        <v>-774377.7900000005</v>
      </c>
      <c r="D30" s="26">
        <f>-(B30-C30)/C30</f>
        <v>0.26786524959606556</v>
      </c>
    </row>
    <row r="31" spans="1:8" x14ac:dyDescent="0.25">
      <c r="A31" s="38" t="s">
        <v>86</v>
      </c>
      <c r="B31" s="24">
        <f>B30/B6</f>
        <v>-0.1080303816898163</v>
      </c>
      <c r="C31" s="24">
        <f>C30/C6</f>
        <v>-0.16045941436406874</v>
      </c>
    </row>
    <row r="32" spans="1:8" ht="15.75" thickBot="1" x14ac:dyDescent="0.3">
      <c r="A32" s="23"/>
      <c r="B32" s="22"/>
      <c r="C32" s="22"/>
      <c r="D32" s="22"/>
    </row>
    <row r="33" spans="1:2" x14ac:dyDescent="0.25">
      <c r="A33" s="74" t="s">
        <v>109</v>
      </c>
    </row>
    <row r="34" spans="1:2" x14ac:dyDescent="0.25">
      <c r="A34" s="70" t="s">
        <v>105</v>
      </c>
      <c r="B34" s="71">
        <v>70851.37</v>
      </c>
    </row>
    <row r="35" spans="1:2" x14ac:dyDescent="0.25">
      <c r="A35" s="70" t="s">
        <v>106</v>
      </c>
      <c r="B35" s="71">
        <v>26381.21</v>
      </c>
    </row>
    <row r="36" spans="1:2" x14ac:dyDescent="0.25">
      <c r="A36" s="70" t="s">
        <v>107</v>
      </c>
      <c r="B36" s="71">
        <v>100000</v>
      </c>
    </row>
    <row r="37" spans="1:2" x14ac:dyDescent="0.25">
      <c r="A37" s="70"/>
      <c r="B37" s="71"/>
    </row>
    <row r="38" spans="1:2" x14ac:dyDescent="0.25">
      <c r="A38" s="72" t="s">
        <v>108</v>
      </c>
      <c r="B38" s="73">
        <f>+B20+B34+B35+B36</f>
        <v>526969.16999999993</v>
      </c>
    </row>
    <row r="39" spans="1:2" x14ac:dyDescent="0.25">
      <c r="A39" s="72" t="s">
        <v>119</v>
      </c>
      <c r="B39" s="73">
        <f>+B30+B34+B35+B36</f>
        <v>-369716.3100000007</v>
      </c>
    </row>
  </sheetData>
  <mergeCells count="3">
    <mergeCell ref="C3:C4"/>
    <mergeCell ref="B3:B4"/>
    <mergeCell ref="D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463B-97E0-4EE4-A96E-14369CD23287}">
  <dimension ref="A1:G28"/>
  <sheetViews>
    <sheetView workbookViewId="0"/>
  </sheetViews>
  <sheetFormatPr baseColWidth="10" defaultRowHeight="15" x14ac:dyDescent="0.3"/>
  <cols>
    <col min="1" max="1" width="75.7109375" customWidth="1"/>
    <col min="2" max="4" width="10.7109375" customWidth="1"/>
    <col min="5" max="5" width="12.28515625" customWidth="1"/>
    <col min="6" max="6" width="10.7109375" customWidth="1"/>
    <col min="7" max="7" width="8.7109375" bestFit="1" customWidth="1"/>
  </cols>
  <sheetData>
    <row r="1" spans="1:7" x14ac:dyDescent="0.3">
      <c r="A1" s="117"/>
      <c r="B1" s="117"/>
      <c r="C1" s="117"/>
      <c r="D1" s="117"/>
      <c r="E1" s="117"/>
      <c r="F1" s="117"/>
      <c r="G1" s="117"/>
    </row>
    <row r="2" spans="1:7" ht="15.75" x14ac:dyDescent="0.3">
      <c r="A2" s="93" t="s">
        <v>120</v>
      </c>
      <c r="B2" s="94">
        <v>2015</v>
      </c>
      <c r="C2" s="95">
        <v>2016</v>
      </c>
      <c r="D2" s="95">
        <v>2017</v>
      </c>
      <c r="E2" s="96" t="s">
        <v>121</v>
      </c>
      <c r="F2" s="95" t="s">
        <v>111</v>
      </c>
      <c r="G2" s="96" t="s">
        <v>122</v>
      </c>
    </row>
    <row r="3" spans="1:7" ht="15.75" x14ac:dyDescent="0.3">
      <c r="A3" s="118"/>
      <c r="B3" s="119"/>
      <c r="C3" s="120"/>
      <c r="D3" s="120"/>
      <c r="E3" s="118"/>
      <c r="F3" s="120"/>
      <c r="G3" s="118"/>
    </row>
    <row r="4" spans="1:7" ht="15.75" x14ac:dyDescent="0.3">
      <c r="A4" s="97" t="s">
        <v>97</v>
      </c>
      <c r="B4" s="98">
        <v>9105239</v>
      </c>
      <c r="C4" s="100">
        <v>9195821.6699999999</v>
      </c>
      <c r="D4" s="100">
        <v>9710830.7699999996</v>
      </c>
      <c r="E4" s="99">
        <v>10512325.439999999</v>
      </c>
      <c r="F4" s="100">
        <v>5248050</v>
      </c>
      <c r="G4" s="101">
        <f>F4/E4</f>
        <v>0.49922826590117442</v>
      </c>
    </row>
    <row r="5" spans="1:7" ht="15.75" x14ac:dyDescent="0.3">
      <c r="A5" s="118"/>
      <c r="B5" s="121"/>
      <c r="C5" s="122"/>
      <c r="D5" s="122"/>
      <c r="E5" s="123"/>
      <c r="F5" s="122"/>
      <c r="G5" s="123"/>
    </row>
    <row r="6" spans="1:7" ht="15.75" x14ac:dyDescent="0.3">
      <c r="A6" s="124" t="s">
        <v>123</v>
      </c>
      <c r="B6" s="125">
        <v>32864</v>
      </c>
      <c r="C6" s="126">
        <v>31100.21</v>
      </c>
      <c r="D6" s="126">
        <v>15451</v>
      </c>
      <c r="E6" s="127">
        <v>20285</v>
      </c>
      <c r="F6" s="126">
        <v>-87905</v>
      </c>
      <c r="G6" s="127"/>
    </row>
    <row r="7" spans="1:7" ht="15.75" x14ac:dyDescent="0.3">
      <c r="A7" s="118"/>
      <c r="B7" s="121"/>
      <c r="C7" s="122"/>
      <c r="D7" s="122"/>
      <c r="E7" s="123"/>
      <c r="F7" s="122"/>
      <c r="G7" s="123"/>
    </row>
    <row r="8" spans="1:7" ht="15.75" x14ac:dyDescent="0.3">
      <c r="A8" s="128" t="s">
        <v>52</v>
      </c>
      <c r="B8" s="125">
        <v>606275</v>
      </c>
      <c r="C8" s="126">
        <v>588271.78</v>
      </c>
      <c r="D8" s="126">
        <v>609944</v>
      </c>
      <c r="E8" s="127">
        <v>626000</v>
      </c>
      <c r="F8" s="126">
        <v>311173</v>
      </c>
      <c r="G8" s="127"/>
    </row>
    <row r="9" spans="1:7" ht="15.75" x14ac:dyDescent="0.3">
      <c r="A9" s="118"/>
      <c r="B9" s="121"/>
      <c r="C9" s="122"/>
      <c r="D9" s="122"/>
      <c r="E9" s="123"/>
      <c r="F9" s="122"/>
      <c r="G9" s="123"/>
    </row>
    <row r="10" spans="1:7" ht="15.75" x14ac:dyDescent="0.3">
      <c r="A10" s="128" t="s">
        <v>53</v>
      </c>
      <c r="B10" s="129">
        <v>-3676146</v>
      </c>
      <c r="C10" s="130">
        <v>-3865136.18</v>
      </c>
      <c r="D10" s="130">
        <v>-4293221.22</v>
      </c>
      <c r="E10" s="131">
        <v>-5058608.62</v>
      </c>
      <c r="F10" s="130">
        <v>-2381453</v>
      </c>
      <c r="G10" s="131"/>
    </row>
    <row r="11" spans="1:7" ht="15.75" hidden="1" x14ac:dyDescent="0.3">
      <c r="A11" s="118" t="s">
        <v>124</v>
      </c>
      <c r="B11" s="132" t="s">
        <v>125</v>
      </c>
      <c r="C11" s="133"/>
      <c r="D11" s="133"/>
      <c r="E11" s="134"/>
      <c r="F11" s="133"/>
      <c r="G11" s="134"/>
    </row>
    <row r="12" spans="1:7" ht="15.75" hidden="1" x14ac:dyDescent="0.3">
      <c r="A12" s="118" t="s">
        <v>126</v>
      </c>
      <c r="B12" s="121">
        <v>330.64299999999997</v>
      </c>
      <c r="C12" s="122"/>
      <c r="D12" s="122"/>
      <c r="E12" s="123"/>
      <c r="F12" s="122"/>
      <c r="G12" s="123"/>
    </row>
    <row r="13" spans="1:7" ht="15.75" hidden="1" x14ac:dyDescent="0.3">
      <c r="A13" s="118" t="s">
        <v>127</v>
      </c>
      <c r="B13" s="121">
        <v>-242.76900000000001</v>
      </c>
      <c r="C13" s="122"/>
      <c r="D13" s="122"/>
      <c r="E13" s="123"/>
      <c r="F13" s="122"/>
      <c r="G13" s="123"/>
    </row>
    <row r="14" spans="1:7" ht="15.75" hidden="1" x14ac:dyDescent="0.3">
      <c r="A14" s="118"/>
      <c r="B14" s="121"/>
      <c r="C14" s="122"/>
      <c r="D14" s="122"/>
      <c r="E14" s="123"/>
      <c r="F14" s="122"/>
      <c r="G14" s="123"/>
    </row>
    <row r="15" spans="1:7" ht="15.75" x14ac:dyDescent="0.3">
      <c r="A15" s="102" t="s">
        <v>128</v>
      </c>
      <c r="B15" s="103">
        <v>6068232</v>
      </c>
      <c r="C15" s="105">
        <v>5950057.4800000004</v>
      </c>
      <c r="D15" s="105">
        <f t="shared" ref="D15:F15" si="0">SUM(D4:D10)</f>
        <v>6043004.5499999998</v>
      </c>
      <c r="E15" s="104">
        <f t="shared" si="0"/>
        <v>6100001.8199999994</v>
      </c>
      <c r="F15" s="105">
        <f t="shared" si="0"/>
        <v>3089865</v>
      </c>
      <c r="G15" s="106">
        <f>F15/E15</f>
        <v>0.50653509477149639</v>
      </c>
    </row>
    <row r="16" spans="1:7" ht="15.75" x14ac:dyDescent="0.3">
      <c r="A16" s="128" t="s">
        <v>129</v>
      </c>
      <c r="B16" s="135">
        <v>0.67</v>
      </c>
      <c r="C16" s="136">
        <f>C15/C4</f>
        <v>0.64703924168203242</v>
      </c>
      <c r="D16" s="136">
        <v>0.62229528483483199</v>
      </c>
      <c r="E16" s="137">
        <f>E15/E4</f>
        <v>0.58027140187166804</v>
      </c>
      <c r="F16" s="136">
        <f>F15/F4</f>
        <v>0.58876439820504756</v>
      </c>
      <c r="G16" s="137"/>
    </row>
    <row r="17" spans="1:7" ht="15.75" x14ac:dyDescent="0.3">
      <c r="A17" s="118"/>
      <c r="B17" s="119"/>
      <c r="C17" s="120"/>
      <c r="D17" s="120"/>
      <c r="E17" s="118"/>
      <c r="F17" s="120"/>
      <c r="G17" s="118"/>
    </row>
    <row r="18" spans="1:7" ht="15.75" x14ac:dyDescent="0.3">
      <c r="A18" s="128" t="s">
        <v>130</v>
      </c>
      <c r="B18" s="129">
        <v>-2929637</v>
      </c>
      <c r="C18" s="130">
        <v>-3178399.55</v>
      </c>
      <c r="D18" s="130">
        <v>-3689992.79</v>
      </c>
      <c r="E18" s="131">
        <v>-3292042.97</v>
      </c>
      <c r="F18" s="130">
        <v>-1644889.0100000002</v>
      </c>
      <c r="G18" s="138">
        <f>F18/E18</f>
        <v>0.49965599628852964</v>
      </c>
    </row>
    <row r="19" spans="1:7" ht="15.75" x14ac:dyDescent="0.3">
      <c r="A19" s="118"/>
      <c r="B19" s="121"/>
      <c r="C19" s="122"/>
      <c r="D19" s="122"/>
      <c r="E19" s="123"/>
      <c r="F19" s="122"/>
      <c r="G19" s="138"/>
    </row>
    <row r="20" spans="1:7" ht="15.75" x14ac:dyDescent="0.3">
      <c r="A20" s="128" t="s">
        <v>55</v>
      </c>
      <c r="B20" s="129">
        <v>-1816442</v>
      </c>
      <c r="C20" s="130">
        <v>-2073716.95</v>
      </c>
      <c r="D20" s="130">
        <v>-2095706</v>
      </c>
      <c r="E20" s="131">
        <v>-1836729.77</v>
      </c>
      <c r="F20" s="130">
        <v>-1115239.4900000002</v>
      </c>
      <c r="G20" s="138">
        <f>F20/E20</f>
        <v>0.60718757229050646</v>
      </c>
    </row>
    <row r="21" spans="1:7" ht="15.75" x14ac:dyDescent="0.3">
      <c r="A21" s="118"/>
      <c r="B21" s="121"/>
      <c r="C21" s="122"/>
      <c r="D21" s="122"/>
      <c r="E21" s="123"/>
      <c r="F21" s="122"/>
      <c r="G21" s="123"/>
    </row>
    <row r="22" spans="1:7" ht="15.75" x14ac:dyDescent="0.3">
      <c r="A22" s="139" t="s">
        <v>131</v>
      </c>
      <c r="B22" s="121">
        <v>90044</v>
      </c>
      <c r="C22" s="133">
        <v>-24903.17</v>
      </c>
      <c r="D22" s="133">
        <v>-14392</v>
      </c>
      <c r="E22" s="123">
        <v>-21891</v>
      </c>
      <c r="F22" s="122">
        <v>-14392</v>
      </c>
      <c r="G22" s="123"/>
    </row>
    <row r="23" spans="1:7" ht="15.75" x14ac:dyDescent="0.3">
      <c r="A23" s="118"/>
      <c r="B23" s="121"/>
      <c r="C23" s="122"/>
      <c r="D23" s="122"/>
      <c r="E23" s="123"/>
      <c r="F23" s="122"/>
      <c r="G23" s="123"/>
    </row>
    <row r="24" spans="1:7" ht="15.75" x14ac:dyDescent="0.3">
      <c r="A24" s="118" t="s">
        <v>132</v>
      </c>
      <c r="B24" s="132">
        <v>-1906486</v>
      </c>
      <c r="C24" s="133">
        <v>-2048813.78</v>
      </c>
      <c r="D24" s="133">
        <v>-2081314</v>
      </c>
      <c r="E24" s="134">
        <v>-1904312</v>
      </c>
      <c r="F24" s="133">
        <f>F20-F22</f>
        <v>-1100847.4900000002</v>
      </c>
      <c r="G24" s="134"/>
    </row>
    <row r="25" spans="1:7" ht="15.75" x14ac:dyDescent="0.3">
      <c r="A25" s="118"/>
      <c r="B25" s="121"/>
      <c r="C25" s="122"/>
      <c r="D25" s="122"/>
      <c r="E25" s="123"/>
      <c r="F25" s="122"/>
      <c r="G25" s="123"/>
    </row>
    <row r="26" spans="1:7" ht="15.75" x14ac:dyDescent="0.3">
      <c r="A26" s="107" t="s">
        <v>93</v>
      </c>
      <c r="B26" s="108">
        <v>1322153</v>
      </c>
      <c r="C26" s="110">
        <v>697940.98000000068</v>
      </c>
      <c r="D26" s="110">
        <v>257305.41000000015</v>
      </c>
      <c r="E26" s="109">
        <f>E15+E18+E20</f>
        <v>971229.07999999914</v>
      </c>
      <c r="F26" s="110">
        <f>F15+F18+F20</f>
        <v>329736.49999999953</v>
      </c>
      <c r="G26" s="106">
        <f>F26/E26</f>
        <v>0.33950435256736733</v>
      </c>
    </row>
    <row r="27" spans="1:7" ht="15.75" x14ac:dyDescent="0.3">
      <c r="A27" s="118" t="s">
        <v>133</v>
      </c>
      <c r="B27" s="140"/>
      <c r="C27" s="122">
        <f>C28-C26</f>
        <v>101059.01999999932</v>
      </c>
      <c r="D27" s="141">
        <f>D28-D26</f>
        <v>68694.589999999851</v>
      </c>
      <c r="E27" s="123">
        <v>47189</v>
      </c>
      <c r="F27" s="121">
        <v>23598</v>
      </c>
      <c r="G27" s="142"/>
    </row>
    <row r="28" spans="1:7" ht="15.75" x14ac:dyDescent="0.3">
      <c r="A28" s="111" t="s">
        <v>134</v>
      </c>
      <c r="B28" s="112"/>
      <c r="C28" s="113">
        <v>799000</v>
      </c>
      <c r="D28" s="114">
        <v>326000</v>
      </c>
      <c r="E28" s="115">
        <f>+E26+E27</f>
        <v>1018418.0799999991</v>
      </c>
      <c r="F28" s="113">
        <f>+F26+F27</f>
        <v>353334.49999999953</v>
      </c>
      <c r="G28" s="116">
        <f>F28/E28</f>
        <v>0.34694444937583968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Consolidado</vt:lpstr>
      <vt:lpstr>PyG Consolidado</vt:lpstr>
      <vt:lpstr>PyG Comparado</vt:lpstr>
      <vt:lpstr>2015-2018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Xavi Casajoana</cp:lastModifiedBy>
  <dcterms:created xsi:type="dcterms:W3CDTF">2017-02-22T12:22:38Z</dcterms:created>
  <dcterms:modified xsi:type="dcterms:W3CDTF">2018-10-30T23:03:55Z</dcterms:modified>
</cp:coreProperties>
</file>